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iro\Downloads\"/>
    </mc:Choice>
  </mc:AlternateContent>
  <xr:revisionPtr revIDLastSave="0" documentId="8_{8D312532-0E9E-4046-AE51-691F8794D0D9}" xr6:coauthVersionLast="47" xr6:coauthVersionMax="47" xr10:uidLastSave="{00000000-0000-0000-0000-000000000000}"/>
  <bookViews>
    <workbookView xWindow="-120" yWindow="-120" windowWidth="20730" windowHeight="11160" firstSheet="1" activeTab="9" xr2:uid="{00000000-000D-0000-FFFF-FFFF00000000}"/>
  </bookViews>
  <sheets>
    <sheet name="Receta Estandar" sheetId="8" state="hidden" r:id="rId1"/>
    <sheet name="Receta Estandar Principal" sheetId="13" r:id="rId2"/>
    <sheet name="R. E. C 1" sheetId="15" r:id="rId3"/>
    <sheet name="R. E. C 2" sheetId="14" r:id="rId4"/>
    <sheet name="R. E. C  3" sheetId="16" r:id="rId5"/>
    <sheet name="R. E. C  4" sheetId="17" r:id="rId6"/>
    <sheet name="R. E. C  5" sheetId="18" state="hidden" r:id="rId7"/>
    <sheet name="R. E. C  6" sheetId="19" state="hidden" r:id="rId8"/>
    <sheet name="R. E. C  7" sheetId="20" state="hidden" r:id="rId9"/>
    <sheet name="Mano de obra" sheetId="2" r:id="rId10"/>
    <sheet name="CIS" sheetId="3" r:id="rId11"/>
    <sheet name="Resumen" sheetId="4" r:id="rId12"/>
    <sheet name="PUNTO DE EQUILIBRIO" sheetId="5" r:id="rId13"/>
    <sheet name="Utilidad Proyectada" sheetId="6" r:id="rId14"/>
    <sheet name="PE Unidades" sheetId="21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4" l="1"/>
  <c r="E9" i="21"/>
  <c r="D8" i="21"/>
  <c r="F8" i="21" s="1"/>
  <c r="F7" i="21"/>
  <c r="D7" i="21"/>
  <c r="D6" i="21"/>
  <c r="F6" i="21" s="1"/>
  <c r="D5" i="21"/>
  <c r="F5" i="21" s="1"/>
  <c r="D4" i="21"/>
  <c r="F4" i="21" s="1"/>
  <c r="D3" i="21"/>
  <c r="F3" i="21" s="1"/>
  <c r="D2" i="21"/>
  <c r="F2" i="21" s="1"/>
  <c r="D6" i="2"/>
  <c r="D7" i="2"/>
  <c r="D8" i="2"/>
  <c r="D9" i="2"/>
  <c r="D10" i="2"/>
  <c r="D11" i="2"/>
  <c r="D5" i="2"/>
  <c r="D4" i="2"/>
  <c r="E4" i="2"/>
  <c r="E6" i="2" s="1"/>
  <c r="E5" i="2"/>
  <c r="I18" i="17"/>
  <c r="I17" i="17"/>
  <c r="I16" i="17"/>
  <c r="I15" i="17"/>
  <c r="I14" i="17"/>
  <c r="I13" i="17"/>
  <c r="I12" i="17"/>
  <c r="I11" i="17"/>
  <c r="I10" i="17"/>
  <c r="I9" i="17"/>
  <c r="I8" i="17"/>
  <c r="I7" i="17"/>
  <c r="I18" i="16"/>
  <c r="I17" i="16"/>
  <c r="I16" i="16"/>
  <c r="I15" i="16"/>
  <c r="I14" i="16"/>
  <c r="I13" i="16"/>
  <c r="I12" i="16"/>
  <c r="I11" i="16"/>
  <c r="I10" i="16"/>
  <c r="I9" i="16"/>
  <c r="I8" i="16"/>
  <c r="I7" i="16"/>
  <c r="I18" i="14"/>
  <c r="I17" i="14"/>
  <c r="I16" i="14"/>
  <c r="I15" i="14"/>
  <c r="I14" i="14"/>
  <c r="I13" i="14"/>
  <c r="I12" i="14"/>
  <c r="I11" i="14"/>
  <c r="I10" i="14"/>
  <c r="I9" i="14"/>
  <c r="I8" i="14"/>
  <c r="I7" i="14"/>
  <c r="I8" i="15"/>
  <c r="I9" i="15"/>
  <c r="I10" i="15"/>
  <c r="I11" i="15"/>
  <c r="I12" i="15"/>
  <c r="I13" i="15"/>
  <c r="I14" i="15"/>
  <c r="I15" i="15"/>
  <c r="I16" i="15"/>
  <c r="I17" i="15"/>
  <c r="I18" i="15"/>
  <c r="I7" i="15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H8" i="13"/>
  <c r="I8" i="13" s="1"/>
  <c r="H9" i="13"/>
  <c r="I9" i="13" s="1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7" i="13"/>
  <c r="I7" i="13" s="1"/>
  <c r="F9" i="21" l="1"/>
  <c r="E10" i="21" s="1"/>
  <c r="B6" i="5"/>
  <c r="B7" i="5"/>
  <c r="F6" i="2"/>
  <c r="F7" i="2"/>
  <c r="F8" i="2"/>
  <c r="F9" i="2"/>
  <c r="F10" i="2"/>
  <c r="F11" i="2"/>
  <c r="M15" i="13" l="1"/>
  <c r="M16" i="13"/>
  <c r="M17" i="13"/>
  <c r="M18" i="13"/>
  <c r="M19" i="13"/>
  <c r="M20" i="13"/>
  <c r="M21" i="13"/>
  <c r="M22" i="13"/>
  <c r="M23" i="13"/>
  <c r="M24" i="13"/>
  <c r="M25" i="13"/>
  <c r="M26" i="13"/>
  <c r="B35" i="13" l="1"/>
  <c r="B34" i="13"/>
  <c r="B33" i="13"/>
  <c r="H34" i="13"/>
  <c r="I34" i="13"/>
  <c r="H35" i="13"/>
  <c r="I35" i="13"/>
  <c r="I18" i="20"/>
  <c r="I17" i="20"/>
  <c r="I16" i="20"/>
  <c r="I15" i="20"/>
  <c r="I14" i="20"/>
  <c r="I13" i="20"/>
  <c r="I12" i="20"/>
  <c r="I11" i="20"/>
  <c r="I10" i="20"/>
  <c r="I9" i="20"/>
  <c r="I8" i="20"/>
  <c r="I7" i="20"/>
  <c r="I18" i="19"/>
  <c r="I17" i="19"/>
  <c r="I16" i="19"/>
  <c r="I15" i="19"/>
  <c r="I14" i="19"/>
  <c r="I13" i="19"/>
  <c r="I12" i="19"/>
  <c r="I11" i="19"/>
  <c r="I10" i="19"/>
  <c r="I9" i="19"/>
  <c r="I8" i="19"/>
  <c r="I7" i="19"/>
  <c r="I18" i="18"/>
  <c r="I17" i="18"/>
  <c r="I16" i="18"/>
  <c r="I15" i="18"/>
  <c r="I14" i="18"/>
  <c r="I13" i="18"/>
  <c r="I12" i="18"/>
  <c r="I11" i="18"/>
  <c r="I10" i="18"/>
  <c r="I9" i="18"/>
  <c r="I8" i="18"/>
  <c r="M18" i="20" l="1"/>
  <c r="M17" i="20"/>
  <c r="M16" i="20"/>
  <c r="M15" i="20"/>
  <c r="M14" i="20"/>
  <c r="M13" i="20"/>
  <c r="M12" i="20"/>
  <c r="M11" i="20"/>
  <c r="M10" i="20"/>
  <c r="M9" i="20"/>
  <c r="M8" i="20"/>
  <c r="M18" i="19"/>
  <c r="M17" i="19"/>
  <c r="M16" i="19"/>
  <c r="M15" i="19"/>
  <c r="M14" i="19"/>
  <c r="M13" i="19"/>
  <c r="M12" i="19"/>
  <c r="M11" i="19"/>
  <c r="M10" i="19"/>
  <c r="M9" i="19"/>
  <c r="M8" i="19"/>
  <c r="M18" i="18"/>
  <c r="M17" i="18"/>
  <c r="M16" i="18"/>
  <c r="M15" i="18"/>
  <c r="M14" i="18"/>
  <c r="M13" i="18"/>
  <c r="M12" i="18"/>
  <c r="M11" i="18"/>
  <c r="M10" i="18"/>
  <c r="M9" i="18"/>
  <c r="M8" i="18"/>
  <c r="M18" i="17"/>
  <c r="M17" i="17"/>
  <c r="M16" i="17"/>
  <c r="M15" i="17"/>
  <c r="M14" i="17"/>
  <c r="M13" i="17"/>
  <c r="M12" i="17"/>
  <c r="M11" i="17"/>
  <c r="M10" i="17"/>
  <c r="M9" i="17"/>
  <c r="M8" i="17"/>
  <c r="M18" i="16"/>
  <c r="M17" i="16"/>
  <c r="M16" i="16"/>
  <c r="M15" i="16"/>
  <c r="M14" i="16"/>
  <c r="M13" i="16"/>
  <c r="M12" i="16"/>
  <c r="M11" i="16"/>
  <c r="M10" i="16"/>
  <c r="M9" i="16"/>
  <c r="M8" i="16"/>
  <c r="M18" i="14"/>
  <c r="M17" i="14"/>
  <c r="M16" i="14"/>
  <c r="M15" i="14"/>
  <c r="M14" i="14"/>
  <c r="M13" i="14"/>
  <c r="M12" i="14"/>
  <c r="M11" i="14"/>
  <c r="M10" i="14"/>
  <c r="M9" i="14"/>
  <c r="M8" i="14"/>
  <c r="M13" i="13" l="1"/>
  <c r="M12" i="13"/>
  <c r="M7" i="16"/>
  <c r="M7" i="15"/>
  <c r="M8" i="15"/>
  <c r="M9" i="15"/>
  <c r="M10" i="15"/>
  <c r="M11" i="15"/>
  <c r="M12" i="15"/>
  <c r="M13" i="15"/>
  <c r="M14" i="15"/>
  <c r="M15" i="15"/>
  <c r="M16" i="15"/>
  <c r="M17" i="15"/>
  <c r="M18" i="15"/>
  <c r="I7" i="18" l="1"/>
  <c r="M7" i="18" s="1"/>
  <c r="M19" i="18" l="1"/>
  <c r="M33" i="13" s="1"/>
  <c r="B32" i="13"/>
  <c r="B31" i="13"/>
  <c r="B30" i="13"/>
  <c r="B29" i="13"/>
  <c r="M19" i="16" l="1"/>
  <c r="M31" i="13" s="1"/>
  <c r="M64" i="13"/>
  <c r="I30" i="13"/>
  <c r="I31" i="13"/>
  <c r="I32" i="13"/>
  <c r="I33" i="13"/>
  <c r="M19" i="15" l="1"/>
  <c r="M29" i="13" s="1"/>
  <c r="G30" i="3" l="1"/>
  <c r="G24" i="3"/>
  <c r="G25" i="3"/>
  <c r="G26" i="3"/>
  <c r="G27" i="3"/>
  <c r="G28" i="3"/>
  <c r="L49" i="13"/>
  <c r="H33" i="13"/>
  <c r="H32" i="13"/>
  <c r="J9" i="8" l="1"/>
  <c r="K9" i="8" s="1"/>
  <c r="J10" i="8"/>
  <c r="K10" i="8" s="1"/>
  <c r="J11" i="8"/>
  <c r="K11" i="8" s="1"/>
  <c r="J12" i="8"/>
  <c r="K12" i="8" s="1"/>
  <c r="J13" i="8"/>
  <c r="K13" i="8" s="1"/>
  <c r="J14" i="8"/>
  <c r="K14" i="8" s="1"/>
  <c r="J15" i="8"/>
  <c r="K15" i="8" s="1"/>
  <c r="J16" i="8"/>
  <c r="K16" i="8" s="1"/>
  <c r="J17" i="8"/>
  <c r="K17" i="8" s="1"/>
  <c r="J18" i="8"/>
  <c r="K18" i="8" s="1"/>
  <c r="J19" i="8"/>
  <c r="K19" i="8" s="1"/>
  <c r="J8" i="8"/>
  <c r="K8" i="8" s="1"/>
  <c r="H8" i="8"/>
  <c r="J41" i="8"/>
  <c r="K40" i="8"/>
  <c r="K41" i="8" s="1"/>
  <c r="J23" i="8"/>
  <c r="K23" i="8" s="1"/>
  <c r="J24" i="8"/>
  <c r="K24" i="8" s="1"/>
  <c r="K48" i="8"/>
  <c r="J22" i="8"/>
  <c r="H19" i="8"/>
  <c r="H11" i="8"/>
  <c r="H10" i="8"/>
  <c r="H9" i="8"/>
  <c r="F5" i="8"/>
  <c r="G20" i="3"/>
  <c r="G21" i="3"/>
  <c r="G22" i="3"/>
  <c r="G23" i="3"/>
  <c r="G29" i="3"/>
  <c r="G19" i="3"/>
  <c r="G7" i="2"/>
  <c r="G10" i="2"/>
  <c r="F5" i="2"/>
  <c r="C24" i="2"/>
  <c r="C18" i="2"/>
  <c r="C12" i="2"/>
  <c r="G11" i="2"/>
  <c r="G9" i="2"/>
  <c r="C25" i="2" l="1"/>
  <c r="G31" i="3"/>
  <c r="G6" i="5" s="1"/>
  <c r="G6" i="2"/>
  <c r="G5" i="2"/>
  <c r="D12" i="2"/>
  <c r="F12" i="2"/>
  <c r="G8" i="2"/>
  <c r="K22" i="8"/>
  <c r="K25" i="8" s="1"/>
  <c r="K20" i="8"/>
  <c r="G12" i="2" l="1"/>
  <c r="D21" i="2" s="1"/>
  <c r="D15" i="2"/>
  <c r="D22" i="2"/>
  <c r="D16" i="2"/>
  <c r="D14" i="2"/>
  <c r="D17" i="2"/>
  <c r="K37" i="8"/>
  <c r="K38" i="8" s="1"/>
  <c r="D20" i="2" l="1"/>
  <c r="D19" i="2"/>
  <c r="G18" i="2"/>
  <c r="D18" i="2"/>
  <c r="K39" i="8"/>
  <c r="G24" i="2" l="1"/>
  <c r="G27" i="2" s="1"/>
  <c r="G7" i="5" s="1"/>
  <c r="G18" i="5" s="1"/>
  <c r="E11" i="21" s="1"/>
  <c r="D24" i="2"/>
  <c r="D25" i="2" s="1"/>
  <c r="K42" i="8"/>
  <c r="K14" i="21" l="1"/>
  <c r="E14" i="21"/>
  <c r="E12" i="21"/>
  <c r="G27" i="5"/>
  <c r="C3" i="6"/>
  <c r="G11" i="6" s="1"/>
  <c r="F7" i="4"/>
  <c r="K54" i="8"/>
  <c r="K43" i="8"/>
  <c r="K45" i="8" s="1"/>
  <c r="K46" i="8" s="1"/>
  <c r="K47" i="8" s="1"/>
  <c r="K50" i="8" s="1"/>
  <c r="G2" i="21" l="1"/>
  <c r="G5" i="21"/>
  <c r="G3" i="21"/>
  <c r="G4" i="21"/>
  <c r="G7" i="21"/>
  <c r="G8" i="21"/>
  <c r="G6" i="21"/>
  <c r="H3" i="21"/>
  <c r="H2" i="21"/>
  <c r="H6" i="21"/>
  <c r="H7" i="21"/>
  <c r="H5" i="21"/>
  <c r="H4" i="21"/>
  <c r="H8" i="21"/>
  <c r="K51" i="8"/>
  <c r="K52" i="8" s="1"/>
  <c r="J4" i="21" l="1"/>
  <c r="I4" i="21"/>
  <c r="K4" i="21"/>
  <c r="K6" i="21"/>
  <c r="I6" i="21"/>
  <c r="J6" i="21"/>
  <c r="I3" i="21"/>
  <c r="J3" i="21"/>
  <c r="K3" i="21"/>
  <c r="K8" i="21"/>
  <c r="I8" i="21"/>
  <c r="J8" i="21"/>
  <c r="J5" i="21"/>
  <c r="I5" i="21"/>
  <c r="K5" i="21"/>
  <c r="J13" i="21"/>
  <c r="I13" i="21"/>
  <c r="K7" i="21"/>
  <c r="J7" i="21"/>
  <c r="I7" i="21"/>
  <c r="I2" i="21"/>
  <c r="K2" i="21"/>
  <c r="J2" i="21"/>
  <c r="G9" i="21"/>
  <c r="M7" i="14"/>
  <c r="M19" i="14" s="1"/>
  <c r="M30" i="13" s="1"/>
  <c r="M7" i="17"/>
  <c r="M19" i="17" s="1"/>
  <c r="M32" i="13" s="1"/>
  <c r="M7" i="19"/>
  <c r="M19" i="19" s="1"/>
  <c r="M34" i="13" s="1"/>
  <c r="M7" i="20"/>
  <c r="M19" i="20" s="1"/>
  <c r="M35" i="13" s="1"/>
  <c r="M11" i="13"/>
  <c r="M14" i="13"/>
  <c r="M10" i="13"/>
  <c r="K13" i="21" l="1"/>
  <c r="K15" i="21" s="1"/>
  <c r="I11" i="21"/>
  <c r="I9" i="21"/>
  <c r="J11" i="21"/>
  <c r="J9" i="21"/>
  <c r="K11" i="21"/>
  <c r="J12" i="21" s="1"/>
  <c r="K9" i="21"/>
  <c r="M36" i="13"/>
  <c r="M4" i="20" l="1"/>
  <c r="L7" i="20" s="1"/>
  <c r="M4" i="14"/>
  <c r="M4" i="17"/>
  <c r="M4" i="16"/>
  <c r="M4" i="15"/>
  <c r="M4" i="19"/>
  <c r="H11" i="19" s="1"/>
  <c r="M4" i="18"/>
  <c r="L15" i="18" s="1"/>
  <c r="M9" i="13"/>
  <c r="L9" i="13" s="1"/>
  <c r="L10" i="13"/>
  <c r="L14" i="13"/>
  <c r="L11" i="13"/>
  <c r="L25" i="13"/>
  <c r="L18" i="13"/>
  <c r="L23" i="13"/>
  <c r="L13" i="13"/>
  <c r="L19" i="13"/>
  <c r="L15" i="13"/>
  <c r="L21" i="13"/>
  <c r="L24" i="13"/>
  <c r="M8" i="13"/>
  <c r="L8" i="13" s="1"/>
  <c r="G7" i="4"/>
  <c r="L17" i="13"/>
  <c r="L20" i="13"/>
  <c r="L12" i="13"/>
  <c r="L16" i="13"/>
  <c r="L22" i="13"/>
  <c r="L26" i="13"/>
  <c r="D5" i="3"/>
  <c r="F8" i="3" s="1"/>
  <c r="M7" i="13"/>
  <c r="L7" i="17" l="1"/>
  <c r="H8" i="17"/>
  <c r="H12" i="17"/>
  <c r="H16" i="17"/>
  <c r="H10" i="17"/>
  <c r="H15" i="17"/>
  <c r="H9" i="17"/>
  <c r="H13" i="17"/>
  <c r="H17" i="17"/>
  <c r="H14" i="17"/>
  <c r="H18" i="17"/>
  <c r="H11" i="17"/>
  <c r="H7" i="17"/>
  <c r="L12" i="16"/>
  <c r="H11" i="16"/>
  <c r="H15" i="16"/>
  <c r="H7" i="16"/>
  <c r="H10" i="16"/>
  <c r="H18" i="16"/>
  <c r="H8" i="16"/>
  <c r="H12" i="16"/>
  <c r="H16" i="16"/>
  <c r="H9" i="16"/>
  <c r="H13" i="16"/>
  <c r="H17" i="16"/>
  <c r="H14" i="16"/>
  <c r="L15" i="14"/>
  <c r="H11" i="14"/>
  <c r="H15" i="14"/>
  <c r="H7" i="14"/>
  <c r="H13" i="14"/>
  <c r="H10" i="14"/>
  <c r="H18" i="14"/>
  <c r="H8" i="14"/>
  <c r="H12" i="14"/>
  <c r="H16" i="14"/>
  <c r="H9" i="14"/>
  <c r="H17" i="14"/>
  <c r="H14" i="14"/>
  <c r="L13" i="15"/>
  <c r="H11" i="15"/>
  <c r="H15" i="15"/>
  <c r="H7" i="15"/>
  <c r="H13" i="15"/>
  <c r="H14" i="15"/>
  <c r="H8" i="15"/>
  <c r="H12" i="15"/>
  <c r="H16" i="15"/>
  <c r="H9" i="15"/>
  <c r="H17" i="15"/>
  <c r="H10" i="15"/>
  <c r="H18" i="15"/>
  <c r="L51" i="13"/>
  <c r="M51" i="13" s="1"/>
  <c r="H16" i="19"/>
  <c r="H15" i="19"/>
  <c r="L8" i="19"/>
  <c r="H17" i="19"/>
  <c r="L11" i="19"/>
  <c r="L9" i="18"/>
  <c r="L10" i="15"/>
  <c r="H12" i="18"/>
  <c r="H18" i="18"/>
  <c r="F14" i="3"/>
  <c r="H10" i="18"/>
  <c r="L8" i="18"/>
  <c r="H17" i="18"/>
  <c r="L12" i="19"/>
  <c r="F12" i="3"/>
  <c r="L7" i="13"/>
  <c r="L27" i="13" s="1"/>
  <c r="M27" i="13"/>
  <c r="M48" i="13" s="1"/>
  <c r="L16" i="15"/>
  <c r="L11" i="14"/>
  <c r="H15" i="20"/>
  <c r="L16" i="20"/>
  <c r="H7" i="20"/>
  <c r="F5" i="3"/>
  <c r="L14" i="18"/>
  <c r="H16" i="18"/>
  <c r="H14" i="18"/>
  <c r="H11" i="18"/>
  <c r="L12" i="18"/>
  <c r="L11" i="18"/>
  <c r="H18" i="19"/>
  <c r="L13" i="19"/>
  <c r="H12" i="19"/>
  <c r="H8" i="19"/>
  <c r="H10" i="19"/>
  <c r="L9" i="19"/>
  <c r="F6" i="3"/>
  <c r="F7" i="3"/>
  <c r="F9" i="3"/>
  <c r="L9" i="15"/>
  <c r="L13" i="16"/>
  <c r="L10" i="16"/>
  <c r="L8" i="16"/>
  <c r="L12" i="17"/>
  <c r="L17" i="17"/>
  <c r="L9" i="17"/>
  <c r="L16" i="17"/>
  <c r="L8" i="17"/>
  <c r="L14" i="14"/>
  <c r="L9" i="14"/>
  <c r="L11" i="20"/>
  <c r="L10" i="20"/>
  <c r="L8" i="20"/>
  <c r="L14" i="20"/>
  <c r="H17" i="20"/>
  <c r="H13" i="20"/>
  <c r="L7" i="19"/>
  <c r="L7" i="14"/>
  <c r="L14" i="16"/>
  <c r="L16" i="14"/>
  <c r="L7" i="15"/>
  <c r="H8" i="18"/>
  <c r="L10" i="18"/>
  <c r="L18" i="18"/>
  <c r="L13" i="18"/>
  <c r="H15" i="18"/>
  <c r="L15" i="19"/>
  <c r="H14" i="19"/>
  <c r="L16" i="19"/>
  <c r="H9" i="19"/>
  <c r="L10" i="19"/>
  <c r="F13" i="3"/>
  <c r="F10" i="3"/>
  <c r="F15" i="3"/>
  <c r="L17" i="15"/>
  <c r="L15" i="15"/>
  <c r="L18" i="15"/>
  <c r="L9" i="16"/>
  <c r="L15" i="16"/>
  <c r="L16" i="16"/>
  <c r="L10" i="17"/>
  <c r="L11" i="17"/>
  <c r="L13" i="17"/>
  <c r="L15" i="17"/>
  <c r="L18" i="14"/>
  <c r="L12" i="14"/>
  <c r="L13" i="14"/>
  <c r="H8" i="20"/>
  <c r="H18" i="20"/>
  <c r="L13" i="20"/>
  <c r="H14" i="20"/>
  <c r="L18" i="20"/>
  <c r="L9" i="20"/>
  <c r="L7" i="18"/>
  <c r="L12" i="15"/>
  <c r="L11" i="16"/>
  <c r="L14" i="17"/>
  <c r="L10" i="14"/>
  <c r="L15" i="20"/>
  <c r="L12" i="20"/>
  <c r="L7" i="16"/>
  <c r="H7" i="18"/>
  <c r="L16" i="18"/>
  <c r="H13" i="18"/>
  <c r="H9" i="18"/>
  <c r="L17" i="18"/>
  <c r="L17" i="19"/>
  <c r="L14" i="19"/>
  <c r="H13" i="19"/>
  <c r="L18" i="19"/>
  <c r="H7" i="19"/>
  <c r="F11" i="3"/>
  <c r="L11" i="15"/>
  <c r="L14" i="15"/>
  <c r="L8" i="15"/>
  <c r="L17" i="16"/>
  <c r="L18" i="16"/>
  <c r="L18" i="17"/>
  <c r="L8" i="14"/>
  <c r="L17" i="14"/>
  <c r="H11" i="20"/>
  <c r="H9" i="20"/>
  <c r="H16" i="20"/>
  <c r="H10" i="20"/>
  <c r="L17" i="20"/>
  <c r="H12" i="20"/>
  <c r="L19" i="20" l="1"/>
  <c r="L35" i="13" s="1"/>
  <c r="L19" i="17"/>
  <c r="L32" i="13" s="1"/>
  <c r="L19" i="18"/>
  <c r="L33" i="13" s="1"/>
  <c r="L19" i="15"/>
  <c r="L29" i="13" s="1"/>
  <c r="L19" i="14"/>
  <c r="L30" i="13" s="1"/>
  <c r="M49" i="13"/>
  <c r="M50" i="13"/>
  <c r="L50" i="13" s="1"/>
  <c r="L19" i="19"/>
  <c r="L34" i="13" s="1"/>
  <c r="F16" i="3"/>
  <c r="L19" i="16"/>
  <c r="L31" i="13" s="1"/>
  <c r="F9" i="4" l="1"/>
  <c r="G9" i="4" s="1"/>
  <c r="M52" i="13"/>
  <c r="L52" i="13" s="1"/>
  <c r="L36" i="13"/>
  <c r="F5" i="4"/>
  <c r="M53" i="13" l="1"/>
  <c r="M54" i="13" s="1"/>
  <c r="M56" i="13" s="1"/>
  <c r="M65" i="13"/>
  <c r="M57" i="13"/>
  <c r="M58" i="13" s="1"/>
  <c r="M60" i="13" s="1"/>
  <c r="M61" i="13"/>
  <c r="M62" i="13" s="1"/>
  <c r="G5" i="4"/>
  <c r="G11" i="4" s="1"/>
  <c r="F11" i="4"/>
  <c r="C18" i="4" l="1"/>
  <c r="E18" i="4" s="1"/>
  <c r="C5" i="6"/>
  <c r="C24" i="5" l="1"/>
  <c r="G20" i="5" s="1"/>
  <c r="C23" i="5" s="1"/>
  <c r="E30" i="5" s="1"/>
  <c r="C4" i="6"/>
  <c r="C8" i="6" l="1"/>
  <c r="E2" i="6"/>
  <c r="C7" i="6" s="1"/>
  <c r="E29" i="5"/>
  <c r="F25" i="5"/>
  <c r="E31" i="5"/>
  <c r="G28" i="5" l="1"/>
  <c r="G32" i="5" s="1"/>
  <c r="E13" i="6"/>
  <c r="E14" i="6"/>
  <c r="E15" i="6"/>
  <c r="G9" i="6"/>
  <c r="G12" i="6" l="1"/>
  <c r="G16" i="6" s="1"/>
  <c r="H9" i="21"/>
</calcChain>
</file>

<file path=xl/sharedStrings.xml><?xml version="1.0" encoding="utf-8"?>
<sst xmlns="http://schemas.openxmlformats.org/spreadsheetml/2006/main" count="436" uniqueCount="211">
  <si>
    <t>DETALLE</t>
  </si>
  <si>
    <t>CANTIDAD A PRODUCIR</t>
  </si>
  <si>
    <t>Costo Unitario de producción</t>
  </si>
  <si>
    <t>MANO DE OBRA DIRECTA</t>
  </si>
  <si>
    <t>SALARIOS DIRECTOS</t>
  </si>
  <si>
    <t>NOMBRE EMPLEADO</t>
  </si>
  <si>
    <t>BASICO MES</t>
  </si>
  <si>
    <t>AUXILIO TRANS</t>
  </si>
  <si>
    <t>SALARIO BÁSICO</t>
  </si>
  <si>
    <t>TOTAL DEVENGADO</t>
  </si>
  <si>
    <t>TOTALES</t>
  </si>
  <si>
    <t>FACTOR PRESTACIONAL Y SEGURIDAD SOCIAL</t>
  </si>
  <si>
    <t>CONCEPTO</t>
  </si>
  <si>
    <t>%</t>
  </si>
  <si>
    <t>VALOR</t>
  </si>
  <si>
    <t>TOTAL FACTOR PRESTACIONAL</t>
  </si>
  <si>
    <t>EPS</t>
  </si>
  <si>
    <t>AFP</t>
  </si>
  <si>
    <t>AP. PARAFISCALES</t>
  </si>
  <si>
    <t>TOTAL SEGURIDAD SOC.</t>
  </si>
  <si>
    <t>PRIMA</t>
  </si>
  <si>
    <t>CESANTÍAS</t>
  </si>
  <si>
    <t>INTERES CESANTIAS</t>
  </si>
  <si>
    <t>VACACIONES</t>
  </si>
  <si>
    <t>TOTAL PRESTACIONES SOC.</t>
  </si>
  <si>
    <t>SUBT. FACTOR PRESTACIONAL</t>
  </si>
  <si>
    <t>TOTAL MANO DE OBRA + FACTOR PRESTACIONAL</t>
  </si>
  <si>
    <t>Mano de obra</t>
  </si>
  <si>
    <t>CIF (Costo indirecto de producción)</t>
  </si>
  <si>
    <t>Total costo de producción</t>
  </si>
  <si>
    <t>RESUMEN GENERAL   DE COSTO UNITARIO</t>
  </si>
  <si>
    <t xml:space="preserve">PRECIO DE VENTA </t>
  </si>
  <si>
    <t>costo unitario variable</t>
  </si>
  <si>
    <t>% de utilidad deseada</t>
  </si>
  <si>
    <t>PUNTO DE EQUILIBRIO</t>
  </si>
  <si>
    <t>Relación de costos y gastos fijos por mes:</t>
  </si>
  <si>
    <t>Arrendamiento</t>
  </si>
  <si>
    <t>Punto de equibrio en unidades</t>
  </si>
  <si>
    <t>PUNTO DE EQUILIBRIO EN $</t>
  </si>
  <si>
    <t>CANTIDAD</t>
  </si>
  <si>
    <t>Precio de venta</t>
  </si>
  <si>
    <t>TOTAL VENTAS DEL MES</t>
  </si>
  <si>
    <t>Menos:</t>
  </si>
  <si>
    <t>costos fijos del mes</t>
  </si>
  <si>
    <t>Materias primas</t>
  </si>
  <si>
    <t>Cif</t>
  </si>
  <si>
    <t>Utilidad o pérdida bruta</t>
  </si>
  <si>
    <t>Unidades a producir y vender</t>
  </si>
  <si>
    <t>Total Costos y gastos fijos</t>
  </si>
  <si>
    <t>Precio de venta del producto</t>
  </si>
  <si>
    <t>PROYECCIÓN DE UTILIDADES</t>
  </si>
  <si>
    <t>COSTO UNITARIO</t>
  </si>
  <si>
    <t>CIF VARIABLES (Producto)</t>
  </si>
  <si>
    <t>TOTAL</t>
  </si>
  <si>
    <t>SUBTOTAL CIF FIJOS</t>
  </si>
  <si>
    <t>CONCEPTOS</t>
  </si>
  <si>
    <t>Dotación</t>
  </si>
  <si>
    <t>RESTAURANTE EL CORRIENTASO</t>
  </si>
  <si>
    <t>RECETA ESTÁNDAR(PLATO FUERTE)</t>
  </si>
  <si>
    <t>NOMBRE DE LA PREPARACIÓN:</t>
  </si>
  <si>
    <t>ABADEJO A LA PLANCHA ACOMPAÑADO DE PAPAS SALADAS</t>
  </si>
  <si>
    <t>Categoría</t>
  </si>
  <si>
    <t>Código</t>
  </si>
  <si>
    <t>RECETA N°</t>
  </si>
  <si>
    <t>País</t>
  </si>
  <si>
    <t>Fecha</t>
  </si>
  <si>
    <t>N°. De porciones</t>
  </si>
  <si>
    <t>PREPARACIÓN PRINCIPAL</t>
  </si>
  <si>
    <t>INGREDIENTES</t>
  </si>
  <si>
    <t>Cant. Por porcion</t>
  </si>
  <si>
    <t>Unidad de Medida</t>
  </si>
  <si>
    <t>Cantidad total requerida en Grs.</t>
  </si>
  <si>
    <t>Costo cotizado</t>
  </si>
  <si>
    <t>Costo Por Porción</t>
  </si>
  <si>
    <t>VALOR TOTAL</t>
  </si>
  <si>
    <t>Abadejo (pescado)</t>
  </si>
  <si>
    <t>Grs</t>
  </si>
  <si>
    <t>Sal</t>
  </si>
  <si>
    <t xml:space="preserve">Mantequilla </t>
  </si>
  <si>
    <t>Aceite de oliva</t>
  </si>
  <si>
    <t>ml</t>
  </si>
  <si>
    <t>Pimienta</t>
  </si>
  <si>
    <t>Cebollín</t>
  </si>
  <si>
    <t>TOTAL COSTO DE LOS INSUMOS DE PRODUCCIÓN</t>
  </si>
  <si>
    <t>CÓD.</t>
  </si>
  <si>
    <t>ACOMPAÑANTES</t>
  </si>
  <si>
    <t>Papas saladas</t>
  </si>
  <si>
    <t>COSTO ACOMPAÑANTES</t>
  </si>
  <si>
    <t>P R E P A R A C I Ó N</t>
  </si>
  <si>
    <t>Medio de Cocción</t>
  </si>
  <si>
    <t>Tipo de Cocción</t>
  </si>
  <si>
    <t>Método  de Cocción</t>
  </si>
  <si>
    <t>Técnica de Cocción</t>
  </si>
  <si>
    <t>Tiempo de preparación:</t>
  </si>
  <si>
    <t>COSTEO</t>
  </si>
  <si>
    <t>COSTO TOTAL DE LA MATERIA PRIMA</t>
  </si>
  <si>
    <t>MARGEN DE ERROR O VARIACIÓN en % (merma)</t>
  </si>
  <si>
    <t>PRECIO POTENCIAL DE VENTA DE UNA PORCIÓN</t>
  </si>
  <si>
    <t>IVA</t>
  </si>
  <si>
    <t xml:space="preserve">PRECIO POTENCIAL DE VENTA CON IVA </t>
  </si>
  <si>
    <t>PESO PORCIÓN GRAMOS</t>
  </si>
  <si>
    <t>C O S T O S  PA R A  L A C A R T A</t>
  </si>
  <si>
    <t>Precio para la Carta de Cada Porción (por redondeo)</t>
  </si>
  <si>
    <t>Precio Real de Venta de Una Porción</t>
  </si>
  <si>
    <t>IVA Generado al vender cada porción</t>
  </si>
  <si>
    <t>O T R O S D A T O S   A D M I N I S T R A T I V O S</t>
  </si>
  <si>
    <t>% Real de Costo de Materia Prima</t>
  </si>
  <si>
    <t>Presentación</t>
  </si>
  <si>
    <t>Kilo</t>
  </si>
  <si>
    <t>Libra</t>
  </si>
  <si>
    <t>Litro</t>
  </si>
  <si>
    <t xml:space="preserve">MANO DE OBRA DIRECTA </t>
  </si>
  <si>
    <t>COSTO INDIRECTO DEL SERVICIO</t>
  </si>
  <si>
    <t>TOTAL COSTO DE PRODUCCIÓN</t>
  </si>
  <si>
    <t>Valor Unidad</t>
  </si>
  <si>
    <t>Valor Unidad CIS</t>
  </si>
  <si>
    <t>% DE GANANCIA ESTABLECIDO POR LA GERENCIA</t>
  </si>
  <si>
    <t>sal</t>
  </si>
  <si>
    <t>IMAGEN</t>
  </si>
  <si>
    <t>COSTO   DE MATERIA PRIMA</t>
  </si>
  <si>
    <t>COSTO UNITARIO DE PRODUCCIÓN</t>
  </si>
  <si>
    <t>cc</t>
  </si>
  <si>
    <t>N°. de porciones</t>
  </si>
  <si>
    <t>Presentación Comercial</t>
  </si>
  <si>
    <t>MARGEN DE ERROR O VARIACIÓN en % (merma, procesos de limpieza y cocción)</t>
  </si>
  <si>
    <t>% de merma</t>
  </si>
  <si>
    <t>Servicio públicos</t>
  </si>
  <si>
    <t>Mantenimiento y Reparac</t>
  </si>
  <si>
    <t>VALOR CIS  REQUERIDO POR UNIDAD</t>
  </si>
  <si>
    <t>COSTO TOTAL CIS</t>
  </si>
  <si>
    <t>IMPUESTO AL CONSUMO</t>
  </si>
  <si>
    <t>Impuesto al consuo generado al vender cada porción</t>
  </si>
  <si>
    <t>Presupuesto de compras</t>
  </si>
  <si>
    <t>PRECIO POTENCIAL DE VENTA CON EL IMPUESTO AL CONSUMO</t>
  </si>
  <si>
    <t>Precio de venta proyectado por redondeo</t>
  </si>
  <si>
    <t>Cis</t>
  </si>
  <si>
    <t>Total Costos y Gastos Fijos</t>
  </si>
  <si>
    <t>COSTOS VARIABLES</t>
  </si>
  <si>
    <t>CIS</t>
  </si>
  <si>
    <t>RECETA ESTÁNDA COMPLEMENTARIA</t>
  </si>
  <si>
    <t>Peso porción en gramos</t>
  </si>
  <si>
    <t>RECETA ESTÁNDAR (PLATO FUERTE)</t>
  </si>
  <si>
    <t xml:space="preserve">RECETA N° </t>
  </si>
  <si>
    <t>TOTAL COSTO ACOMPAÑANTES</t>
  </si>
  <si>
    <t>ARL</t>
  </si>
  <si>
    <t>DIAS / HORAS TRAB.</t>
  </si>
  <si>
    <t>Estella</t>
  </si>
  <si>
    <t>Pedro</t>
  </si>
  <si>
    <t>COSTOS INDIRECTOS DEL SERVICIO (CIS)</t>
  </si>
  <si>
    <t>SUBTOTAL CIS VARIABLES</t>
  </si>
  <si>
    <t xml:space="preserve">CIS FIJOS </t>
  </si>
  <si>
    <t>Materia Prima  (Insumos de producción)</t>
  </si>
  <si>
    <t>Costos fijos del mes</t>
  </si>
  <si>
    <t>Costos variables:</t>
  </si>
  <si>
    <t>Utilidad o pérdida proyectada</t>
  </si>
  <si>
    <t>Utilidad proyectada</t>
  </si>
  <si>
    <t>CUADRO PARA PROYECCIÓN DE UTILIDADES</t>
  </si>
  <si>
    <t>A25</t>
  </si>
  <si>
    <t>RESTAURANTE EL CORRIENTAZO</t>
  </si>
  <si>
    <t>Cantidad Total Neta requerida</t>
  </si>
  <si>
    <t>COSTO TOTAL DEMATERIAS PRIMAS</t>
  </si>
  <si>
    <t>% de Merma</t>
  </si>
  <si>
    <t>Cantidad Total Neta Requerida</t>
  </si>
  <si>
    <t>Presupuesto de Compras</t>
  </si>
  <si>
    <t>Precio de Compra</t>
  </si>
  <si>
    <t>Cant. Por Porcion</t>
  </si>
  <si>
    <t>COSTO TOTAL DE LOS INGREDIENTES</t>
  </si>
  <si>
    <t>Carne de res</t>
  </si>
  <si>
    <t>Ajo</t>
  </si>
  <si>
    <t>Aseo y cafeteria</t>
  </si>
  <si>
    <t>Empaques</t>
  </si>
  <si>
    <t>Honorarios</t>
  </si>
  <si>
    <t>% Rendimiento</t>
  </si>
  <si>
    <t>% de Rendim.</t>
  </si>
  <si>
    <t>DATOS BÁSICOS ANUALIZADOS</t>
  </si>
  <si>
    <t>Salario Mínimo Año 2026</t>
  </si>
  <si>
    <t>Auxilio De transporte Año 2026</t>
  </si>
  <si>
    <t>Horas trabajadas al mes</t>
  </si>
  <si>
    <t>Ventas x Ref</t>
  </si>
  <si>
    <t>Costos Variables</t>
  </si>
  <si>
    <t>MC Promedio</t>
  </si>
  <si>
    <t>Ventas Totales</t>
  </si>
  <si>
    <t>CV Totales</t>
  </si>
  <si>
    <t>MC Total</t>
  </si>
  <si>
    <t>Costos Fijos</t>
  </si>
  <si>
    <t>PE Total Unidades</t>
  </si>
  <si>
    <t>Utilidad</t>
  </si>
  <si>
    <t>Producto</t>
  </si>
  <si>
    <t>AA</t>
  </si>
  <si>
    <t>BB</t>
  </si>
  <si>
    <t>CC</t>
  </si>
  <si>
    <t>DD</t>
  </si>
  <si>
    <t>EE</t>
  </si>
  <si>
    <t>FF</t>
  </si>
  <si>
    <t>GG</t>
  </si>
  <si>
    <t>Precio Unitario de Venta</t>
  </si>
  <si>
    <t>Costo Unitario de Producción</t>
  </si>
  <si>
    <t>Márgen de Contribución  promedio</t>
  </si>
  <si>
    <t>Unidades Punto de Equilibrio</t>
  </si>
  <si>
    <t>Unidades Utilidad Proyectada</t>
  </si>
  <si>
    <t>Utilidad Proyectada</t>
  </si>
  <si>
    <t>Unidades a producir</t>
  </si>
  <si>
    <t>% promedio de utilidad por producto</t>
  </si>
  <si>
    <t>Punto de Equilibrio</t>
  </si>
  <si>
    <t>Utilidad operacional proyectada</t>
  </si>
  <si>
    <t>(Menos)  Costos y Gastos Fijos</t>
  </si>
  <si>
    <t>Margen  o utilidad por producto en $</t>
  </si>
  <si>
    <t>RESUMEN</t>
  </si>
  <si>
    <t>Margen de Utilidad por Producto</t>
  </si>
  <si>
    <t>TOTAL CIS</t>
  </si>
  <si>
    <t>COSTO POR UNIDAD MPD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</si>
</sst>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\ #,##0_);[Red]\(&quot;$&quot;\ #,##0\)"/>
    <numFmt numFmtId="166" formatCode="_(&quot;$&quot;\ * #,##0_);_(&quot;$&quot;\ * \(#,##0\);_(&quot;$&quot;\ * &quot;-&quot;_);_(@_)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_(* #,##0_);_(* \(#,##0\);_(* &quot;-&quot;??_);_(@_)"/>
    <numFmt numFmtId="170" formatCode="0.000%"/>
    <numFmt numFmtId="171" formatCode="_-* #,##0\ _€_-;\-* #,##0\ _€_-;_-* &quot;-&quot;??\ _€_-;_-@_-"/>
    <numFmt numFmtId="172" formatCode="_(&quot;$&quot;\ * #,##0_);_(&quot;$&quot;\ * \(#,##0\);_(&quot;$&quot;\ * &quot;-&quot;??_);_(@_)"/>
    <numFmt numFmtId="173" formatCode="_(* #,##0.0_);_(* \(#,##0.0\);_(* &quot;-&quot;??_);_(@_)"/>
    <numFmt numFmtId="174" formatCode="_(* #,##0.000_);_(* \(#,##0.000\);_(* &quot;-&quot;???_);_(@_)"/>
    <numFmt numFmtId="175" formatCode="_(* #,##0_);_(* \(#,##0\);_(* &quot;-&quot;???_);_(@_)"/>
    <numFmt numFmtId="176" formatCode="_-* #,##0_-;\-* #,##0_-;_-* &quot;-&quot;??_-;_-@_-"/>
    <numFmt numFmtId="177" formatCode="_-&quot;$&quot;\ * #,##0_-;\-&quot;$&quot;\ * #,##0_-;_-&quot;$&quot;\ 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3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theme="1"/>
      <name val="Calibri"/>
      <family val="2"/>
    </font>
    <font>
      <b/>
      <sz val="20"/>
      <color rgb="FF000000"/>
      <name val="Buxton Sketch"/>
      <family val="4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sz val="22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1"/>
      <color theme="1"/>
      <name val="Calibri"/>
      <family val="2"/>
    </font>
    <font>
      <b/>
      <sz val="36"/>
      <color theme="1"/>
      <name val="Calibri"/>
      <family val="2"/>
      <scheme val="minor"/>
    </font>
    <font>
      <b/>
      <sz val="11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gray125">
        <bgColor theme="4" tint="0.59999389629810485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6" tint="0.79998168889431442"/>
        <bgColor rgb="FF000000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85">
    <xf numFmtId="0" fontId="0" fillId="0" borderId="0" xfId="0"/>
    <xf numFmtId="0" fontId="0" fillId="0" borderId="1" xfId="0" applyBorder="1" applyProtection="1">
      <protection locked="0"/>
    </xf>
    <xf numFmtId="0" fontId="0" fillId="1" borderId="1" xfId="0" applyFill="1" applyBorder="1" applyProtection="1">
      <protection locked="0"/>
    </xf>
    <xf numFmtId="169" fontId="3" fillId="1" borderId="1" xfId="1" applyNumberFormat="1" applyFont="1" applyFill="1" applyBorder="1" applyAlignment="1" applyProtection="1">
      <alignment horizontal="center"/>
    </xf>
    <xf numFmtId="10" fontId="0" fillId="0" borderId="1" xfId="0" applyNumberFormat="1" applyBorder="1" applyProtection="1">
      <protection locked="0"/>
    </xf>
    <xf numFmtId="170" fontId="0" fillId="0" borderId="1" xfId="0" applyNumberFormat="1" applyBorder="1" applyProtection="1">
      <protection locked="0"/>
    </xf>
    <xf numFmtId="0" fontId="2" fillId="1" borderId="1" xfId="0" applyFont="1" applyFill="1" applyBorder="1" applyProtection="1">
      <protection locked="0"/>
    </xf>
    <xf numFmtId="10" fontId="2" fillId="1" borderId="1" xfId="0" applyNumberFormat="1" applyFont="1" applyFill="1" applyBorder="1" applyProtection="1">
      <protection locked="0"/>
    </xf>
    <xf numFmtId="169" fontId="3" fillId="1" borderId="1" xfId="0" applyNumberFormat="1" applyFont="1" applyFill="1" applyBorder="1"/>
    <xf numFmtId="0" fontId="4" fillId="1" borderId="1" xfId="0" applyFont="1" applyFill="1" applyBorder="1" applyProtection="1">
      <protection locked="0"/>
    </xf>
    <xf numFmtId="169" fontId="4" fillId="1" borderId="1" xfId="1" applyNumberFormat="1" applyFont="1" applyFill="1" applyBorder="1" applyAlignment="1" applyProtection="1">
      <alignment horizontal="center"/>
    </xf>
    <xf numFmtId="169" fontId="3" fillId="0" borderId="1" xfId="0" applyNumberFormat="1" applyFont="1" applyBorder="1"/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7" fillId="0" borderId="1" xfId="0" applyFont="1" applyBorder="1" applyProtection="1">
      <protection locked="0"/>
    </xf>
    <xf numFmtId="171" fontId="7" fillId="0" borderId="1" xfId="1" applyNumberFormat="1" applyFont="1" applyBorder="1" applyProtection="1"/>
    <xf numFmtId="169" fontId="0" fillId="0" borderId="0" xfId="0" applyNumberFormat="1" applyProtection="1">
      <protection locked="0"/>
    </xf>
    <xf numFmtId="169" fontId="1" fillId="2" borderId="1" xfId="1" applyNumberFormat="1" applyFont="1" applyFill="1" applyBorder="1" applyAlignment="1" applyProtection="1">
      <alignment horizontal="center"/>
      <protection locked="0"/>
    </xf>
    <xf numFmtId="169" fontId="1" fillId="2" borderId="1" xfId="1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9" fillId="0" borderId="0" xfId="0" applyFont="1"/>
    <xf numFmtId="0" fontId="10" fillId="4" borderId="5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4" borderId="6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left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right" vertical="center"/>
    </xf>
    <xf numFmtId="0" fontId="13" fillId="4" borderId="1" xfId="0" applyFont="1" applyFill="1" applyBorder="1" applyAlignment="1">
      <alignment horizontal="left" vertical="center"/>
    </xf>
    <xf numFmtId="169" fontId="13" fillId="4" borderId="1" xfId="1" applyNumberFormat="1" applyFont="1" applyFill="1" applyBorder="1" applyAlignment="1">
      <alignment horizontal="left" vertical="center"/>
    </xf>
    <xf numFmtId="169" fontId="13" fillId="4" borderId="1" xfId="1" applyNumberFormat="1" applyFont="1" applyFill="1" applyBorder="1" applyAlignment="1">
      <alignment horizontal="right" vertical="center"/>
    </xf>
    <xf numFmtId="169" fontId="13" fillId="4" borderId="10" xfId="1" applyNumberFormat="1" applyFont="1" applyFill="1" applyBorder="1" applyAlignment="1">
      <alignment horizontal="right" vertical="center"/>
    </xf>
    <xf numFmtId="168" fontId="13" fillId="4" borderId="1" xfId="1" applyNumberFormat="1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7" fontId="11" fillId="5" borderId="6" xfId="2" applyFont="1" applyFill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4" borderId="1" xfId="0" applyFont="1" applyFill="1" applyBorder="1" applyAlignment="1">
      <alignment horizontal="right" vertical="center"/>
    </xf>
    <xf numFmtId="10" fontId="10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/>
    <xf numFmtId="0" fontId="12" fillId="5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vertical="center"/>
    </xf>
    <xf numFmtId="165" fontId="11" fillId="5" borderId="10" xfId="0" applyNumberFormat="1" applyFont="1" applyFill="1" applyBorder="1" applyAlignment="1">
      <alignment horizontal="right" vertical="center"/>
    </xf>
    <xf numFmtId="171" fontId="10" fillId="4" borderId="1" xfId="1" applyNumberFormat="1" applyFont="1" applyFill="1" applyBorder="1" applyAlignment="1">
      <alignment horizontal="right" vertical="center"/>
    </xf>
    <xf numFmtId="171" fontId="10" fillId="0" borderId="10" xfId="1" applyNumberFormat="1" applyFont="1" applyFill="1" applyBorder="1" applyAlignment="1">
      <alignment horizontal="right" vertical="center"/>
    </xf>
    <xf numFmtId="171" fontId="12" fillId="8" borderId="10" xfId="1" applyNumberFormat="1" applyFont="1" applyFill="1" applyBorder="1" applyAlignment="1">
      <alignment horizontal="right" vertical="center" indent="1"/>
    </xf>
    <xf numFmtId="9" fontId="12" fillId="8" borderId="10" xfId="4" applyFont="1" applyFill="1" applyBorder="1" applyAlignment="1">
      <alignment horizontal="right" vertical="center" indent="1"/>
    </xf>
    <xf numFmtId="171" fontId="12" fillId="9" borderId="10" xfId="1" applyNumberFormat="1" applyFont="1" applyFill="1" applyBorder="1" applyAlignment="1">
      <alignment horizontal="right" vertical="center" indent="1"/>
    </xf>
    <xf numFmtId="171" fontId="10" fillId="10" borderId="10" xfId="1" applyNumberFormat="1" applyFont="1" applyFill="1" applyBorder="1" applyAlignment="1">
      <alignment horizontal="right" vertical="center"/>
    </xf>
    <xf numFmtId="0" fontId="10" fillId="8" borderId="13" xfId="0" applyFont="1" applyFill="1" applyBorder="1" applyAlignment="1">
      <alignment vertical="center"/>
    </xf>
    <xf numFmtId="0" fontId="10" fillId="8" borderId="11" xfId="0" applyFont="1" applyFill="1" applyBorder="1" applyAlignment="1">
      <alignment vertical="center"/>
    </xf>
    <xf numFmtId="165" fontId="9" fillId="0" borderId="0" xfId="0" applyNumberFormat="1" applyFont="1"/>
    <xf numFmtId="1" fontId="10" fillId="8" borderId="3" xfId="0" applyNumberFormat="1" applyFont="1" applyFill="1" applyBorder="1" applyAlignment="1">
      <alignment vertical="center"/>
    </xf>
    <xf numFmtId="9" fontId="15" fillId="0" borderId="1" xfId="0" applyNumberFormat="1" applyFont="1" applyBorder="1" applyAlignment="1">
      <alignment horizontal="center" vertical="center"/>
    </xf>
    <xf numFmtId="171" fontId="10" fillId="7" borderId="10" xfId="1" applyNumberFormat="1" applyFont="1" applyFill="1" applyBorder="1" applyAlignment="1">
      <alignment horizontal="right" vertical="center"/>
    </xf>
    <xf numFmtId="0" fontId="14" fillId="5" borderId="10" xfId="0" applyFont="1" applyFill="1" applyBorder="1" applyAlignment="1">
      <alignment vertical="center"/>
    </xf>
    <xf numFmtId="9" fontId="16" fillId="0" borderId="41" xfId="0" applyNumberFormat="1" applyFont="1" applyBorder="1" applyAlignment="1">
      <alignment horizontal="right" vertical="center"/>
    </xf>
    <xf numFmtId="169" fontId="13" fillId="11" borderId="1" xfId="1" applyNumberFormat="1" applyFont="1" applyFill="1" applyBorder="1" applyAlignment="1">
      <alignment horizontal="right" vertical="center"/>
    </xf>
    <xf numFmtId="0" fontId="13" fillId="11" borderId="1" xfId="0" applyFont="1" applyFill="1" applyBorder="1" applyAlignment="1">
      <alignment horizontal="right" vertical="center"/>
    </xf>
    <xf numFmtId="0" fontId="10" fillId="11" borderId="2" xfId="0" applyFont="1" applyFill="1" applyBorder="1" applyAlignment="1">
      <alignment horizontal="center" vertical="center" wrapText="1"/>
    </xf>
    <xf numFmtId="168" fontId="9" fillId="0" borderId="0" xfId="0" applyNumberFormat="1" applyFont="1"/>
    <xf numFmtId="169" fontId="9" fillId="0" borderId="0" xfId="0" applyNumberFormat="1" applyFont="1"/>
    <xf numFmtId="174" fontId="9" fillId="0" borderId="0" xfId="0" applyNumberFormat="1" applyFont="1"/>
    <xf numFmtId="164" fontId="9" fillId="0" borderId="0" xfId="1" applyFont="1" applyFill="1" applyBorder="1"/>
    <xf numFmtId="169" fontId="3" fillId="12" borderId="1" xfId="1" applyNumberFormat="1" applyFont="1" applyFill="1" applyBorder="1" applyProtection="1"/>
    <xf numFmtId="172" fontId="3" fillId="12" borderId="1" xfId="2" applyNumberFormat="1" applyFont="1" applyFill="1" applyBorder="1" applyProtection="1"/>
    <xf numFmtId="167" fontId="4" fillId="12" borderId="1" xfId="2" applyFont="1" applyFill="1" applyBorder="1" applyProtection="1"/>
    <xf numFmtId="0" fontId="2" fillId="12" borderId="1" xfId="0" applyFont="1" applyFill="1" applyBorder="1" applyAlignment="1" applyProtection="1">
      <alignment horizontal="center" vertical="center"/>
      <protection locked="0"/>
    </xf>
    <xf numFmtId="166" fontId="3" fillId="12" borderId="11" xfId="3" applyFont="1" applyFill="1" applyBorder="1" applyAlignment="1" applyProtection="1">
      <alignment vertical="center"/>
    </xf>
    <xf numFmtId="171" fontId="1" fillId="0" borderId="1" xfId="1" applyNumberFormat="1" applyFont="1" applyBorder="1" applyProtection="1"/>
    <xf numFmtId="172" fontId="3" fillId="13" borderId="1" xfId="2" applyNumberFormat="1" applyFont="1" applyFill="1" applyBorder="1" applyProtection="1"/>
    <xf numFmtId="0" fontId="12" fillId="14" borderId="7" xfId="0" applyFont="1" applyFill="1" applyBorder="1" applyAlignment="1">
      <alignment horizontal="left" vertical="center" wrapText="1"/>
    </xf>
    <xf numFmtId="0" fontId="12" fillId="14" borderId="8" xfId="0" applyFont="1" applyFill="1" applyBorder="1" applyAlignment="1">
      <alignment horizontal="center" vertical="center" wrapText="1"/>
    </xf>
    <xf numFmtId="169" fontId="3" fillId="13" borderId="1" xfId="1" applyNumberFormat="1" applyFont="1" applyFill="1" applyBorder="1" applyProtection="1"/>
    <xf numFmtId="169" fontId="4" fillId="12" borderId="1" xfId="1" applyNumberFormat="1" applyFont="1" applyFill="1" applyBorder="1" applyProtection="1"/>
    <xf numFmtId="0" fontId="0" fillId="12" borderId="1" xfId="0" applyFill="1" applyBorder="1" applyProtection="1">
      <protection locked="0"/>
    </xf>
    <xf numFmtId="169" fontId="5" fillId="15" borderId="1" xfId="0" applyNumberFormat="1" applyFont="1" applyFill="1" applyBorder="1"/>
    <xf numFmtId="169" fontId="3" fillId="15" borderId="1" xfId="0" applyNumberFormat="1" applyFont="1" applyFill="1" applyBorder="1" applyAlignment="1">
      <alignment horizontal="center"/>
    </xf>
    <xf numFmtId="0" fontId="12" fillId="14" borderId="2" xfId="0" applyFont="1" applyFill="1" applyBorder="1" applyAlignment="1">
      <alignment horizontal="center" vertical="center" wrapText="1"/>
    </xf>
    <xf numFmtId="169" fontId="1" fillId="0" borderId="1" xfId="1" applyNumberFormat="1" applyFont="1" applyBorder="1" applyAlignment="1" applyProtection="1">
      <alignment horizontal="center"/>
    </xf>
    <xf numFmtId="22" fontId="12" fillId="14" borderId="33" xfId="0" applyNumberFormat="1" applyFont="1" applyFill="1" applyBorder="1" applyAlignment="1">
      <alignment vertical="center"/>
    </xf>
    <xf numFmtId="0" fontId="27" fillId="12" borderId="1" xfId="0" applyFont="1" applyFill="1" applyBorder="1" applyAlignment="1">
      <alignment vertical="center"/>
    </xf>
    <xf numFmtId="0" fontId="12" fillId="14" borderId="1" xfId="0" applyFont="1" applyFill="1" applyBorder="1" applyAlignment="1">
      <alignment horizontal="center" vertical="center"/>
    </xf>
    <xf numFmtId="171" fontId="11" fillId="8" borderId="1" xfId="1" applyNumberFormat="1" applyFont="1" applyFill="1" applyBorder="1" applyAlignment="1">
      <alignment vertical="center"/>
    </xf>
    <xf numFmtId="0" fontId="12" fillId="14" borderId="1" xfId="0" applyFont="1" applyFill="1" applyBorder="1" applyAlignment="1">
      <alignment horizontal="left" vertical="center"/>
    </xf>
    <xf numFmtId="0" fontId="12" fillId="14" borderId="1" xfId="0" applyFont="1" applyFill="1" applyBorder="1" applyAlignment="1">
      <alignment horizontal="center" vertical="center" wrapText="1"/>
    </xf>
    <xf numFmtId="0" fontId="13" fillId="0" borderId="9" xfId="0" applyFont="1" applyBorder="1" applyAlignment="1" applyProtection="1">
      <alignment horizontal="right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left" vertical="center"/>
      <protection locked="0"/>
    </xf>
    <xf numFmtId="9" fontId="13" fillId="4" borderId="1" xfId="4" applyFont="1" applyFill="1" applyBorder="1" applyAlignment="1" applyProtection="1">
      <alignment horizontal="center" vertical="center"/>
      <protection locked="0"/>
    </xf>
    <xf numFmtId="169" fontId="13" fillId="14" borderId="1" xfId="1" applyNumberFormat="1" applyFont="1" applyFill="1" applyBorder="1" applyAlignment="1" applyProtection="1">
      <alignment horizontal="right" vertical="center"/>
      <protection locked="0"/>
    </xf>
    <xf numFmtId="0" fontId="13" fillId="14" borderId="1" xfId="0" applyFont="1" applyFill="1" applyBorder="1" applyAlignment="1" applyProtection="1">
      <alignment horizontal="right" vertical="center"/>
      <protection locked="0"/>
    </xf>
    <xf numFmtId="173" fontId="23" fillId="14" borderId="1" xfId="0" applyNumberFormat="1" applyFont="1" applyFill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horizontal="right" vertical="center"/>
      <protection locked="0"/>
    </xf>
    <xf numFmtId="0" fontId="10" fillId="8" borderId="13" xfId="0" applyFont="1" applyFill="1" applyBorder="1" applyAlignment="1" applyProtection="1">
      <alignment vertical="center"/>
      <protection locked="0"/>
    </xf>
    <xf numFmtId="9" fontId="11" fillId="8" borderId="10" xfId="4" applyFont="1" applyFill="1" applyBorder="1" applyAlignment="1" applyProtection="1">
      <alignment horizontal="right" vertical="center" indent="1"/>
      <protection locked="0"/>
    </xf>
    <xf numFmtId="9" fontId="9" fillId="0" borderId="1" xfId="0" applyNumberFormat="1" applyFont="1" applyBorder="1" applyProtection="1">
      <protection locked="0"/>
    </xf>
    <xf numFmtId="9" fontId="24" fillId="0" borderId="1" xfId="0" applyNumberFormat="1" applyFont="1" applyBorder="1" applyAlignment="1" applyProtection="1">
      <alignment horizontal="center" vertical="center"/>
      <protection locked="0"/>
    </xf>
    <xf numFmtId="171" fontId="13" fillId="4" borderId="1" xfId="1" applyNumberFormat="1" applyFont="1" applyFill="1" applyBorder="1" applyAlignment="1" applyProtection="1">
      <alignment horizontal="center" vertical="center"/>
    </xf>
    <xf numFmtId="173" fontId="13" fillId="4" borderId="1" xfId="1" applyNumberFormat="1" applyFont="1" applyFill="1" applyBorder="1" applyAlignment="1" applyProtection="1">
      <alignment horizontal="right" vertical="center"/>
    </xf>
    <xf numFmtId="169" fontId="13" fillId="14" borderId="10" xfId="1" applyNumberFormat="1" applyFont="1" applyFill="1" applyBorder="1" applyAlignment="1" applyProtection="1">
      <alignment horizontal="right" vertical="center"/>
    </xf>
    <xf numFmtId="172" fontId="11" fillId="14" borderId="6" xfId="2" applyNumberFormat="1" applyFont="1" applyFill="1" applyBorder="1" applyAlignment="1" applyProtection="1">
      <alignment horizontal="left" vertical="center"/>
    </xf>
    <xf numFmtId="165" fontId="11" fillId="14" borderId="10" xfId="0" applyNumberFormat="1" applyFont="1" applyFill="1" applyBorder="1" applyAlignment="1">
      <alignment horizontal="right" vertical="center"/>
    </xf>
    <xf numFmtId="171" fontId="23" fillId="7" borderId="10" xfId="1" applyNumberFormat="1" applyFont="1" applyFill="1" applyBorder="1" applyAlignment="1" applyProtection="1">
      <alignment horizontal="right" vertical="center"/>
    </xf>
    <xf numFmtId="171" fontId="10" fillId="0" borderId="10" xfId="1" applyNumberFormat="1" applyFont="1" applyFill="1" applyBorder="1" applyAlignment="1" applyProtection="1">
      <alignment horizontal="right" vertical="center"/>
    </xf>
    <xf numFmtId="9" fontId="10" fillId="0" borderId="1" xfId="0" applyNumberFormat="1" applyFont="1" applyBorder="1" applyAlignment="1">
      <alignment horizontal="center" vertical="center"/>
    </xf>
    <xf numFmtId="171" fontId="12" fillId="8" borderId="10" xfId="1" applyNumberFormat="1" applyFont="1" applyFill="1" applyBorder="1" applyAlignment="1" applyProtection="1">
      <alignment horizontal="right" vertical="center" indent="1"/>
    </xf>
    <xf numFmtId="171" fontId="12" fillId="14" borderId="10" xfId="1" applyNumberFormat="1" applyFont="1" applyFill="1" applyBorder="1" applyAlignment="1" applyProtection="1">
      <alignment horizontal="right" vertical="center" indent="1"/>
    </xf>
    <xf numFmtId="171" fontId="11" fillId="0" borderId="10" xfId="1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vertical="center" wrapText="1"/>
    </xf>
    <xf numFmtId="171" fontId="10" fillId="0" borderId="1" xfId="1" applyNumberFormat="1" applyFont="1" applyFill="1" applyBorder="1" applyAlignment="1" applyProtection="1">
      <alignment vertical="center" wrapText="1"/>
    </xf>
    <xf numFmtId="171" fontId="12" fillId="14" borderId="1" xfId="1" applyNumberFormat="1" applyFont="1" applyFill="1" applyBorder="1" applyAlignment="1" applyProtection="1">
      <alignment vertical="center"/>
    </xf>
    <xf numFmtId="173" fontId="23" fillId="14" borderId="1" xfId="0" applyNumberFormat="1" applyFont="1" applyFill="1" applyBorder="1" applyAlignment="1">
      <alignment vertical="center"/>
    </xf>
    <xf numFmtId="0" fontId="2" fillId="16" borderId="1" xfId="0" applyFont="1" applyFill="1" applyBorder="1" applyAlignment="1" applyProtection="1">
      <alignment horizontal="center" vertical="center"/>
      <protection locked="0"/>
    </xf>
    <xf numFmtId="169" fontId="2" fillId="16" borderId="1" xfId="1" applyNumberFormat="1" applyFont="1" applyFill="1" applyBorder="1" applyAlignment="1" applyProtection="1">
      <alignment horizontal="center" vertical="center"/>
      <protection locked="0"/>
    </xf>
    <xf numFmtId="0" fontId="2" fillId="16" borderId="1" xfId="0" applyFont="1" applyFill="1" applyBorder="1" applyAlignment="1" applyProtection="1">
      <alignment horizontal="center" vertical="center" wrapText="1"/>
      <protection locked="0"/>
    </xf>
    <xf numFmtId="0" fontId="2" fillId="12" borderId="1" xfId="0" applyFont="1" applyFill="1" applyBorder="1" applyAlignment="1" applyProtection="1">
      <alignment horizontal="center" vertical="center" wrapText="1"/>
      <protection locked="0"/>
    </xf>
    <xf numFmtId="169" fontId="2" fillId="12" borderId="1" xfId="1" applyNumberFormat="1" applyFont="1" applyFill="1" applyBorder="1" applyProtection="1">
      <protection locked="0"/>
    </xf>
    <xf numFmtId="169" fontId="4" fillId="12" borderId="1" xfId="0" applyNumberFormat="1" applyFont="1" applyFill="1" applyBorder="1"/>
    <xf numFmtId="0" fontId="4" fillId="0" borderId="1" xfId="0" applyFont="1" applyBorder="1" applyProtection="1">
      <protection locked="0"/>
    </xf>
    <xf numFmtId="169" fontId="4" fillId="0" borderId="1" xfId="1" applyNumberFormat="1" applyFont="1" applyBorder="1" applyProtection="1">
      <protection locked="0"/>
    </xf>
    <xf numFmtId="0" fontId="0" fillId="0" borderId="1" xfId="0" applyBorder="1"/>
    <xf numFmtId="0" fontId="3" fillId="12" borderId="1" xfId="0" applyFont="1" applyFill="1" applyBorder="1" applyProtection="1">
      <protection locked="0"/>
    </xf>
    <xf numFmtId="0" fontId="7" fillId="0" borderId="4" xfId="0" applyFont="1" applyBorder="1" applyProtection="1">
      <protection locked="0"/>
    </xf>
    <xf numFmtId="172" fontId="5" fillId="12" borderId="34" xfId="2" applyNumberFormat="1" applyFont="1" applyFill="1" applyBorder="1" applyProtection="1"/>
    <xf numFmtId="169" fontId="3" fillId="16" borderId="10" xfId="0" applyNumberFormat="1" applyFont="1" applyFill="1" applyBorder="1"/>
    <xf numFmtId="169" fontId="8" fillId="0" borderId="10" xfId="1" applyNumberFormat="1" applyFont="1" applyBorder="1" applyProtection="1"/>
    <xf numFmtId="169" fontId="8" fillId="0" borderId="10" xfId="1" applyNumberFormat="1" applyFont="1" applyBorder="1" applyProtection="1">
      <protection locked="0"/>
    </xf>
    <xf numFmtId="169" fontId="8" fillId="0" borderId="41" xfId="1" applyNumberFormat="1" applyFont="1" applyBorder="1" applyProtection="1">
      <protection locked="0"/>
    </xf>
    <xf numFmtId="0" fontId="9" fillId="0" borderId="1" xfId="0" applyFont="1" applyBorder="1" applyProtection="1">
      <protection locked="0"/>
    </xf>
    <xf numFmtId="0" fontId="12" fillId="8" borderId="1" xfId="0" applyFont="1" applyFill="1" applyBorder="1" applyAlignment="1" applyProtection="1">
      <alignment vertical="center" wrapText="1"/>
      <protection locked="0"/>
    </xf>
    <xf numFmtId="22" fontId="12" fillId="4" borderId="1" xfId="0" applyNumberFormat="1" applyFont="1" applyFill="1" applyBorder="1" applyAlignment="1" applyProtection="1">
      <alignment horizontal="center" vertical="center"/>
      <protection locked="0"/>
    </xf>
    <xf numFmtId="22" fontId="12" fillId="4" borderId="51" xfId="0" applyNumberFormat="1" applyFont="1" applyFill="1" applyBorder="1" applyAlignment="1" applyProtection="1">
      <alignment horizontal="center" vertical="center"/>
      <protection locked="0"/>
    </xf>
    <xf numFmtId="173" fontId="13" fillId="14" borderId="1" xfId="1" applyNumberFormat="1" applyFont="1" applyFill="1" applyBorder="1" applyAlignment="1" applyProtection="1">
      <alignment horizontal="right" vertical="center"/>
    </xf>
    <xf numFmtId="0" fontId="10" fillId="0" borderId="13" xfId="0" applyFont="1" applyBorder="1" applyAlignment="1" applyProtection="1">
      <alignment horizontal="right" vertical="center"/>
      <protection locked="0"/>
    </xf>
    <xf numFmtId="0" fontId="9" fillId="0" borderId="0" xfId="0" applyFont="1" applyProtection="1">
      <protection locked="0"/>
    </xf>
    <xf numFmtId="0" fontId="12" fillId="14" borderId="1" xfId="0" applyFont="1" applyFill="1" applyBorder="1" applyAlignment="1" applyProtection="1">
      <alignment horizontal="left" vertical="center"/>
      <protection locked="0"/>
    </xf>
    <xf numFmtId="22" fontId="12" fillId="14" borderId="33" xfId="0" applyNumberFormat="1" applyFont="1" applyFill="1" applyBorder="1" applyAlignment="1" applyProtection="1">
      <alignment vertical="center"/>
      <protection locked="0"/>
    </xf>
    <xf numFmtId="0" fontId="27" fillId="12" borderId="1" xfId="0" applyFont="1" applyFill="1" applyBorder="1" applyAlignment="1" applyProtection="1">
      <alignment vertical="center"/>
      <protection locked="0"/>
    </xf>
    <xf numFmtId="0" fontId="12" fillId="14" borderId="1" xfId="0" applyFont="1" applyFill="1" applyBorder="1" applyAlignment="1" applyProtection="1">
      <alignment horizontal="center" vertical="center"/>
      <protection locked="0"/>
    </xf>
    <xf numFmtId="0" fontId="12" fillId="14" borderId="1" xfId="0" applyFont="1" applyFill="1" applyBorder="1" applyAlignment="1" applyProtection="1">
      <alignment horizontal="center" vertical="center" wrapText="1"/>
      <protection locked="0"/>
    </xf>
    <xf numFmtId="0" fontId="12" fillId="14" borderId="7" xfId="0" applyFont="1" applyFill="1" applyBorder="1" applyAlignment="1" applyProtection="1">
      <alignment horizontal="left" vertical="center" wrapText="1"/>
      <protection locked="0"/>
    </xf>
    <xf numFmtId="0" fontId="12" fillId="14" borderId="2" xfId="0" applyFont="1" applyFill="1" applyBorder="1" applyAlignment="1" applyProtection="1">
      <alignment horizontal="center" vertical="center" wrapText="1"/>
      <protection locked="0"/>
    </xf>
    <xf numFmtId="0" fontId="12" fillId="14" borderId="8" xfId="0" applyFont="1" applyFill="1" applyBorder="1" applyAlignment="1" applyProtection="1">
      <alignment horizontal="center" vertical="center" wrapText="1"/>
      <protection locked="0"/>
    </xf>
    <xf numFmtId="169" fontId="9" fillId="0" borderId="0" xfId="0" applyNumberFormat="1" applyFont="1" applyProtection="1">
      <protection locked="0"/>
    </xf>
    <xf numFmtId="168" fontId="9" fillId="0" borderId="0" xfId="0" applyNumberFormat="1" applyFont="1" applyProtection="1">
      <protection locked="0"/>
    </xf>
    <xf numFmtId="174" fontId="9" fillId="0" borderId="0" xfId="0" applyNumberFormat="1" applyFont="1" applyProtection="1">
      <protection locked="0"/>
    </xf>
    <xf numFmtId="175" fontId="9" fillId="0" borderId="0" xfId="0" applyNumberFormat="1" applyFont="1" applyProtection="1">
      <protection locked="0"/>
    </xf>
    <xf numFmtId="164" fontId="9" fillId="0" borderId="0" xfId="1" applyFont="1" applyFill="1" applyBorder="1" applyProtection="1">
      <protection locked="0"/>
    </xf>
    <xf numFmtId="171" fontId="10" fillId="0" borderId="10" xfId="1" applyNumberFormat="1" applyFont="1" applyFill="1" applyBorder="1" applyAlignment="1" applyProtection="1">
      <alignment horizontal="right" vertical="center"/>
      <protection locked="0"/>
    </xf>
    <xf numFmtId="171" fontId="23" fillId="14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14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0" borderId="10" xfId="1" applyNumberFormat="1" applyFont="1" applyFill="1" applyBorder="1" applyAlignment="1" applyProtection="1">
      <alignment horizontal="right" vertical="center"/>
      <protection locked="0"/>
    </xf>
    <xf numFmtId="9" fontId="16" fillId="0" borderId="41" xfId="0" applyNumberFormat="1" applyFont="1" applyBorder="1" applyAlignment="1" applyProtection="1">
      <alignment horizontal="right" vertical="center"/>
      <protection locked="0"/>
    </xf>
    <xf numFmtId="171" fontId="23" fillId="12" borderId="10" xfId="1" applyNumberFormat="1" applyFont="1" applyFill="1" applyBorder="1" applyAlignment="1" applyProtection="1">
      <alignment horizontal="right" vertical="center"/>
    </xf>
    <xf numFmtId="9" fontId="13" fillId="14" borderId="1" xfId="4" applyFont="1" applyFill="1" applyBorder="1" applyAlignment="1" applyProtection="1">
      <alignment horizontal="center" vertical="center"/>
      <protection locked="0"/>
    </xf>
    <xf numFmtId="169" fontId="13" fillId="18" borderId="10" xfId="1" applyNumberFormat="1" applyFont="1" applyFill="1" applyBorder="1" applyAlignment="1" applyProtection="1">
      <alignment horizontal="right" vertical="center"/>
      <protection locked="0"/>
    </xf>
    <xf numFmtId="173" fontId="13" fillId="18" borderId="1" xfId="1" applyNumberFormat="1" applyFont="1" applyFill="1" applyBorder="1" applyAlignment="1" applyProtection="1">
      <alignment horizontal="right" vertical="center"/>
    </xf>
    <xf numFmtId="0" fontId="13" fillId="14" borderId="1" xfId="0" applyFont="1" applyFill="1" applyBorder="1" applyAlignment="1" applyProtection="1">
      <alignment horizontal="center" vertical="center"/>
      <protection locked="0"/>
    </xf>
    <xf numFmtId="171" fontId="3" fillId="12" borderId="1" xfId="1" applyNumberFormat="1" applyFont="1" applyFill="1" applyBorder="1" applyAlignment="1" applyProtection="1">
      <alignment horizontal="center"/>
      <protection locked="0"/>
    </xf>
    <xf numFmtId="0" fontId="3" fillId="12" borderId="1" xfId="0" applyFont="1" applyFill="1" applyBorder="1" applyAlignment="1" applyProtection="1">
      <alignment horizontal="center"/>
      <protection locked="0"/>
    </xf>
    <xf numFmtId="169" fontId="2" fillId="1" borderId="1" xfId="0" applyNumberFormat="1" applyFont="1" applyFill="1" applyBorder="1"/>
    <xf numFmtId="0" fontId="3" fillId="12" borderId="2" xfId="0" applyFont="1" applyFill="1" applyBorder="1" applyAlignment="1" applyProtection="1">
      <alignment horizontal="center" vertical="center" wrapText="1"/>
      <protection locked="0"/>
    </xf>
    <xf numFmtId="0" fontId="3" fillId="12" borderId="1" xfId="0" applyFont="1" applyFill="1" applyBorder="1" applyAlignment="1" applyProtection="1">
      <alignment horizontal="center" vertical="center" wrapText="1"/>
      <protection locked="0"/>
    </xf>
    <xf numFmtId="171" fontId="3" fillId="17" borderId="1" xfId="1" applyNumberFormat="1" applyFont="1" applyFill="1" applyBorder="1" applyAlignment="1" applyProtection="1">
      <alignment vertical="center" wrapText="1"/>
      <protection locked="0"/>
    </xf>
    <xf numFmtId="0" fontId="2" fillId="16" borderId="1" xfId="0" applyFont="1" applyFill="1" applyBorder="1" applyAlignment="1">
      <alignment horizontal="center" vertical="center" wrapText="1"/>
    </xf>
    <xf numFmtId="176" fontId="0" fillId="0" borderId="1" xfId="5" applyNumberFormat="1" applyFont="1" applyBorder="1"/>
    <xf numFmtId="9" fontId="0" fillId="16" borderId="1" xfId="4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16" borderId="1" xfId="0" applyFill="1" applyBorder="1"/>
    <xf numFmtId="176" fontId="0" fillId="16" borderId="1" xfId="5" applyNumberFormat="1" applyFont="1" applyFill="1" applyBorder="1"/>
    <xf numFmtId="177" fontId="2" fillId="16" borderId="1" xfId="6" applyNumberFormat="1" applyFont="1" applyFill="1" applyBorder="1"/>
    <xf numFmtId="176" fontId="2" fillId="16" borderId="1" xfId="5" applyNumberFormat="1" applyFont="1" applyFill="1" applyBorder="1"/>
    <xf numFmtId="172" fontId="2" fillId="16" borderId="1" xfId="2" applyNumberFormat="1" applyFont="1" applyFill="1" applyBorder="1"/>
    <xf numFmtId="9" fontId="4" fillId="16" borderId="35" xfId="4" applyFont="1" applyFill="1" applyBorder="1" applyAlignment="1">
      <alignment horizontal="center" vertical="center"/>
    </xf>
    <xf numFmtId="177" fontId="4" fillId="16" borderId="34" xfId="6" applyNumberFormat="1" applyFont="1" applyFill="1" applyBorder="1" applyAlignment="1">
      <alignment vertical="center"/>
    </xf>
    <xf numFmtId="0" fontId="0" fillId="20" borderId="1" xfId="0" applyFill="1" applyBorder="1"/>
    <xf numFmtId="172" fontId="0" fillId="0" borderId="0" xfId="0" applyNumberFormat="1"/>
    <xf numFmtId="1" fontId="2" fillId="20" borderId="1" xfId="0" applyNumberFormat="1" applyFont="1" applyFill="1" applyBorder="1" applyAlignment="1">
      <alignment horizontal="center"/>
    </xf>
    <xf numFmtId="1" fontId="2" fillId="16" borderId="1" xfId="0" applyNumberFormat="1" applyFont="1" applyFill="1" applyBorder="1" applyAlignment="1">
      <alignment horizontal="center"/>
    </xf>
    <xf numFmtId="172" fontId="2" fillId="20" borderId="1" xfId="2" applyNumberFormat="1" applyFont="1" applyFill="1" applyBorder="1"/>
    <xf numFmtId="171" fontId="0" fillId="0" borderId="1" xfId="1" applyNumberFormat="1" applyFont="1" applyBorder="1" applyAlignment="1">
      <alignment horizontal="center"/>
    </xf>
    <xf numFmtId="172" fontId="2" fillId="20" borderId="1" xfId="0" applyNumberFormat="1" applyFont="1" applyFill="1" applyBorder="1"/>
    <xf numFmtId="176" fontId="2" fillId="20" borderId="1" xfId="0" applyNumberFormat="1" applyFont="1" applyFill="1" applyBorder="1"/>
    <xf numFmtId="0" fontId="0" fillId="21" borderId="1" xfId="0" applyFill="1" applyBorder="1"/>
    <xf numFmtId="172" fontId="3" fillId="21" borderId="1" xfId="2" applyNumberFormat="1" applyFont="1" applyFill="1" applyBorder="1"/>
    <xf numFmtId="176" fontId="4" fillId="7" borderId="1" xfId="5" applyNumberFormat="1" applyFont="1" applyFill="1" applyBorder="1" applyAlignment="1">
      <alignment horizontal="center" vertical="center"/>
    </xf>
    <xf numFmtId="172" fontId="0" fillId="0" borderId="1" xfId="2" applyNumberFormat="1" applyFont="1" applyBorder="1" applyAlignment="1">
      <alignment vertical="center"/>
    </xf>
    <xf numFmtId="0" fontId="0" fillId="16" borderId="34" xfId="0" applyFill="1" applyBorder="1"/>
    <xf numFmtId="0" fontId="4" fillId="16" borderId="1" xfId="0" applyFont="1" applyFill="1" applyBorder="1" applyAlignment="1">
      <alignment horizontal="center" vertical="center" wrapText="1"/>
    </xf>
    <xf numFmtId="176" fontId="4" fillId="20" borderId="32" xfId="5" applyNumberFormat="1" applyFont="1" applyFill="1" applyBorder="1" applyAlignment="1">
      <alignment vertical="center"/>
    </xf>
    <xf numFmtId="0" fontId="0" fillId="0" borderId="0" xfId="0" applyAlignment="1">
      <alignment textRotation="45"/>
    </xf>
    <xf numFmtId="176" fontId="3" fillId="21" borderId="1" xfId="5" applyNumberFormat="1" applyFont="1" applyFill="1" applyBorder="1"/>
    <xf numFmtId="0" fontId="2" fillId="16" borderId="1" xfId="0" applyFont="1" applyFill="1" applyBorder="1" applyAlignment="1">
      <alignment horizontal="right"/>
    </xf>
    <xf numFmtId="0" fontId="2" fillId="16" borderId="1" xfId="0" applyFont="1" applyFill="1" applyBorder="1" applyAlignment="1">
      <alignment horizontal="center"/>
    </xf>
    <xf numFmtId="172" fontId="5" fillId="16" borderId="1" xfId="2" applyNumberFormat="1" applyFont="1" applyFill="1" applyBorder="1" applyAlignment="1">
      <alignment horizontal="center" vertical="center"/>
    </xf>
    <xf numFmtId="176" fontId="5" fillId="16" borderId="1" xfId="5" applyNumberFormat="1" applyFont="1" applyFill="1" applyBorder="1" applyAlignment="1">
      <alignment horizontal="center" vertical="center"/>
    </xf>
    <xf numFmtId="44" fontId="2" fillId="21" borderId="33" xfId="6" applyFont="1" applyFill="1" applyBorder="1" applyAlignment="1">
      <alignment horizontal="center"/>
    </xf>
    <xf numFmtId="44" fontId="2" fillId="21" borderId="3" xfId="6" applyFont="1" applyFill="1" applyBorder="1" applyAlignment="1">
      <alignment horizontal="center"/>
    </xf>
    <xf numFmtId="176" fontId="4" fillId="16" borderId="16" xfId="5" applyNumberFormat="1" applyFont="1" applyFill="1" applyBorder="1" applyAlignment="1">
      <alignment horizontal="center" vertical="center" wrapText="1"/>
    </xf>
    <xf numFmtId="176" fontId="4" fillId="16" borderId="36" xfId="5" applyNumberFormat="1" applyFont="1" applyFill="1" applyBorder="1" applyAlignment="1">
      <alignment horizontal="center" vertical="center" wrapText="1"/>
    </xf>
    <xf numFmtId="176" fontId="4" fillId="16" borderId="32" xfId="5" applyNumberFormat="1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center" vertical="center" wrapText="1"/>
    </xf>
    <xf numFmtId="0" fontId="2" fillId="20" borderId="0" xfId="0" applyFont="1" applyFill="1" applyAlignment="1">
      <alignment horizontal="center" vertical="center" wrapText="1"/>
    </xf>
    <xf numFmtId="0" fontId="2" fillId="20" borderId="33" xfId="0" applyFont="1" applyFill="1" applyBorder="1" applyAlignment="1">
      <alignment horizontal="center"/>
    </xf>
    <xf numFmtId="0" fontId="2" fillId="20" borderId="3" xfId="0" applyFont="1" applyFill="1" applyBorder="1" applyAlignment="1">
      <alignment horizontal="center"/>
    </xf>
    <xf numFmtId="172" fontId="4" fillId="21" borderId="33" xfId="0" applyNumberFormat="1" applyFont="1" applyFill="1" applyBorder="1" applyAlignment="1">
      <alignment horizontal="center"/>
    </xf>
    <xf numFmtId="172" fontId="4" fillId="21" borderId="3" xfId="0" applyNumberFormat="1" applyFont="1" applyFill="1" applyBorder="1" applyAlignment="1">
      <alignment horizontal="center"/>
    </xf>
    <xf numFmtId="167" fontId="12" fillId="5" borderId="13" xfId="2" applyFont="1" applyFill="1" applyBorder="1" applyAlignment="1">
      <alignment horizontal="left" vertical="top"/>
    </xf>
    <xf numFmtId="167" fontId="12" fillId="5" borderId="11" xfId="2" applyFont="1" applyFill="1" applyBorder="1" applyAlignment="1">
      <alignment horizontal="left" vertical="top"/>
    </xf>
    <xf numFmtId="167" fontId="12" fillId="5" borderId="3" xfId="2" applyFont="1" applyFill="1" applyBorder="1" applyAlignment="1">
      <alignment horizontal="left" vertical="top"/>
    </xf>
    <xf numFmtId="0" fontId="12" fillId="8" borderId="14" xfId="0" applyFont="1" applyFill="1" applyBorder="1" applyAlignment="1">
      <alignment horizontal="left" vertical="center" wrapText="1"/>
    </xf>
    <xf numFmtId="0" fontId="12" fillId="8" borderId="15" xfId="0" applyFont="1" applyFill="1" applyBorder="1" applyAlignment="1">
      <alignment horizontal="left" vertical="center" wrapText="1"/>
    </xf>
    <xf numFmtId="0" fontId="12" fillId="8" borderId="16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6" fillId="5" borderId="33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horizontal="center" vertical="center"/>
    </xf>
    <xf numFmtId="0" fontId="21" fillId="10" borderId="13" xfId="0" applyFont="1" applyFill="1" applyBorder="1" applyAlignment="1">
      <alignment horizontal="center" vertical="center"/>
    </xf>
    <xf numFmtId="0" fontId="21" fillId="10" borderId="11" xfId="0" applyFont="1" applyFill="1" applyBorder="1" applyAlignment="1">
      <alignment horizontal="center" vertical="center"/>
    </xf>
    <xf numFmtId="0" fontId="21" fillId="10" borderId="3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20" fillId="0" borderId="40" xfId="0" applyFont="1" applyBorder="1" applyAlignment="1">
      <alignment horizontal="left" vertical="center"/>
    </xf>
    <xf numFmtId="0" fontId="10" fillId="10" borderId="9" xfId="0" applyFont="1" applyFill="1" applyBorder="1" applyAlignment="1">
      <alignment horizontal="left" vertical="center"/>
    </xf>
    <xf numFmtId="0" fontId="10" fillId="10" borderId="1" xfId="0" applyFont="1" applyFill="1" applyBorder="1" applyAlignment="1">
      <alignment horizontal="left" vertical="center"/>
    </xf>
    <xf numFmtId="0" fontId="12" fillId="10" borderId="9" xfId="0" applyFont="1" applyFill="1" applyBorder="1" applyAlignment="1">
      <alignment horizontal="left" vertical="center"/>
    </xf>
    <xf numFmtId="0" fontId="12" fillId="10" borderId="1" xfId="0" applyFont="1" applyFill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2" fillId="9" borderId="13" xfId="0" applyFont="1" applyFill="1" applyBorder="1" applyAlignment="1">
      <alignment horizontal="left" vertical="center"/>
    </xf>
    <xf numFmtId="0" fontId="12" fillId="9" borderId="11" xfId="0" applyFont="1" applyFill="1" applyBorder="1" applyAlignment="1">
      <alignment horizontal="left" vertical="center"/>
    </xf>
    <xf numFmtId="0" fontId="12" fillId="9" borderId="3" xfId="0" applyFont="1" applyFill="1" applyBorder="1" applyAlignment="1">
      <alignment horizontal="left" vertical="center"/>
    </xf>
    <xf numFmtId="0" fontId="12" fillId="8" borderId="13" xfId="0" applyFont="1" applyFill="1" applyBorder="1" applyAlignment="1">
      <alignment horizontal="left" vertical="center"/>
    </xf>
    <xf numFmtId="0" fontId="12" fillId="8" borderId="11" xfId="0" applyFont="1" applyFill="1" applyBorder="1" applyAlignment="1">
      <alignment horizontal="left" vertical="center"/>
    </xf>
    <xf numFmtId="0" fontId="12" fillId="8" borderId="3" xfId="0" applyFont="1" applyFill="1" applyBorder="1" applyAlignment="1">
      <alignment horizontal="left" vertical="center"/>
    </xf>
    <xf numFmtId="0" fontId="10" fillId="8" borderId="1" xfId="0" applyFont="1" applyFill="1" applyBorder="1" applyAlignment="1">
      <alignment horizontal="center" vertical="center"/>
    </xf>
    <xf numFmtId="0" fontId="10" fillId="8" borderId="13" xfId="0" applyFont="1" applyFill="1" applyBorder="1" applyAlignment="1">
      <alignment horizontal="center" vertical="center"/>
    </xf>
    <xf numFmtId="0" fontId="10" fillId="8" borderId="11" xfId="0" applyFont="1" applyFill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17" fillId="10" borderId="13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12" xfId="0" applyFont="1" applyFill="1" applyBorder="1" applyAlignment="1">
      <alignment horizontal="center" vertical="center"/>
    </xf>
    <xf numFmtId="171" fontId="11" fillId="5" borderId="14" xfId="0" applyNumberFormat="1" applyFont="1" applyFill="1" applyBorder="1" applyAlignment="1">
      <alignment horizontal="center" vertical="center"/>
    </xf>
    <xf numFmtId="171" fontId="11" fillId="5" borderId="15" xfId="0" applyNumberFormat="1" applyFont="1" applyFill="1" applyBorder="1" applyAlignment="1">
      <alignment horizontal="center" vertical="center"/>
    </xf>
    <xf numFmtId="171" fontId="11" fillId="5" borderId="17" xfId="0" applyNumberFormat="1" applyFont="1" applyFill="1" applyBorder="1" applyAlignment="1">
      <alignment horizontal="center" vertical="center"/>
    </xf>
    <xf numFmtId="171" fontId="10" fillId="7" borderId="9" xfId="0" applyNumberFormat="1" applyFont="1" applyFill="1" applyBorder="1" applyAlignment="1">
      <alignment horizontal="left" vertical="center"/>
    </xf>
    <xf numFmtId="171" fontId="10" fillId="7" borderId="1" xfId="0" applyNumberFormat="1" applyFont="1" applyFill="1" applyBorder="1" applyAlignment="1">
      <alignment horizontal="left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7" fillId="0" borderId="1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10" borderId="1" xfId="0" applyFont="1" applyFill="1" applyBorder="1" applyAlignment="1">
      <alignment horizontal="center"/>
    </xf>
    <xf numFmtId="0" fontId="17" fillId="10" borderId="10" xfId="0" applyFont="1" applyFill="1" applyBorder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10" borderId="3" xfId="0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2" fillId="5" borderId="9" xfId="0" applyFont="1" applyFill="1" applyBorder="1" applyAlignment="1">
      <alignment horizontal="right" vertical="center"/>
    </xf>
    <xf numFmtId="0" fontId="12" fillId="5" borderId="1" xfId="0" applyFont="1" applyFill="1" applyBorder="1" applyAlignment="1">
      <alignment horizontal="right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5" borderId="18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0" fontId="10" fillId="6" borderId="22" xfId="0" applyFont="1" applyFill="1" applyBorder="1" applyAlignment="1">
      <alignment horizontal="center" vertical="center"/>
    </xf>
    <xf numFmtId="0" fontId="10" fillId="6" borderId="23" xfId="0" applyFont="1" applyFill="1" applyBorder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22" fontId="10" fillId="4" borderId="24" xfId="0" applyNumberFormat="1" applyFont="1" applyFill="1" applyBorder="1" applyAlignment="1">
      <alignment horizontal="center" vertical="center"/>
    </xf>
    <xf numFmtId="22" fontId="10" fillId="4" borderId="25" xfId="0" applyNumberFormat="1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8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 wrapText="1"/>
    </xf>
    <xf numFmtId="0" fontId="12" fillId="5" borderId="25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21" fillId="12" borderId="13" xfId="0" applyFont="1" applyFill="1" applyBorder="1" applyAlignment="1" applyProtection="1">
      <alignment horizontal="center" vertical="center"/>
      <protection locked="0"/>
    </xf>
    <xf numFmtId="0" fontId="21" fillId="12" borderId="11" xfId="0" applyFont="1" applyFill="1" applyBorder="1" applyAlignment="1" applyProtection="1">
      <alignment horizontal="center" vertical="center"/>
      <protection locked="0"/>
    </xf>
    <xf numFmtId="0" fontId="21" fillId="12" borderId="3" xfId="0" applyFont="1" applyFill="1" applyBorder="1" applyAlignment="1" applyProtection="1">
      <alignment horizontal="center" vertical="center"/>
      <protection locked="0"/>
    </xf>
    <xf numFmtId="0" fontId="16" fillId="14" borderId="33" xfId="0" applyFont="1" applyFill="1" applyBorder="1" applyAlignment="1" applyProtection="1">
      <alignment horizontal="center" vertical="center"/>
      <protection locked="0"/>
    </xf>
    <xf numFmtId="0" fontId="16" fillId="14" borderId="11" xfId="0" applyFont="1" applyFill="1" applyBorder="1" applyAlignment="1" applyProtection="1">
      <alignment horizontal="center" vertical="center"/>
      <protection locked="0"/>
    </xf>
    <xf numFmtId="0" fontId="16" fillId="14" borderId="12" xfId="0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4" fillId="14" borderId="1" xfId="0" applyFont="1" applyFill="1" applyBorder="1" applyAlignment="1" applyProtection="1">
      <alignment horizontal="center" vertical="center"/>
      <protection locked="0"/>
    </xf>
    <xf numFmtId="0" fontId="14" fillId="14" borderId="10" xfId="0" applyFont="1" applyFill="1" applyBorder="1" applyAlignment="1" applyProtection="1">
      <alignment horizontal="center" vertical="center"/>
      <protection locked="0"/>
    </xf>
    <xf numFmtId="0" fontId="20" fillId="0" borderId="40" xfId="0" applyFont="1" applyBorder="1" applyAlignment="1" applyProtection="1">
      <alignment horizontal="left" vertical="center"/>
      <protection locked="0"/>
    </xf>
    <xf numFmtId="0" fontId="22" fillId="0" borderId="42" xfId="0" applyFont="1" applyBorder="1" applyAlignment="1" applyProtection="1">
      <alignment horizontal="center" vertical="center"/>
      <protection locked="0"/>
    </xf>
    <xf numFmtId="0" fontId="22" fillId="0" borderId="27" xfId="0" applyFont="1" applyBorder="1" applyAlignment="1" applyProtection="1">
      <alignment horizontal="center" vertical="center"/>
      <protection locked="0"/>
    </xf>
    <xf numFmtId="0" fontId="22" fillId="0" borderId="28" xfId="0" applyFont="1" applyBorder="1" applyAlignment="1" applyProtection="1">
      <alignment horizontal="center" vertical="center"/>
      <protection locked="0"/>
    </xf>
    <xf numFmtId="0" fontId="13" fillId="12" borderId="1" xfId="0" applyFont="1" applyFill="1" applyBorder="1" applyAlignment="1" applyProtection="1">
      <alignment horizontal="center" vertical="center"/>
      <protection locked="0"/>
    </xf>
    <xf numFmtId="0" fontId="12" fillId="14" borderId="1" xfId="0" applyFont="1" applyFill="1" applyBorder="1" applyAlignment="1" applyProtection="1">
      <alignment horizontal="left" vertical="center"/>
      <protection locked="0"/>
    </xf>
    <xf numFmtId="0" fontId="26" fillId="19" borderId="33" xfId="0" applyFont="1" applyFill="1" applyBorder="1" applyAlignment="1" applyProtection="1">
      <alignment horizontal="center" vertical="center" wrapText="1"/>
      <protection locked="0"/>
    </xf>
    <xf numFmtId="0" fontId="26" fillId="19" borderId="11" xfId="0" applyFont="1" applyFill="1" applyBorder="1" applyAlignment="1" applyProtection="1">
      <alignment horizontal="center" vertical="center" wrapText="1"/>
      <protection locked="0"/>
    </xf>
    <xf numFmtId="0" fontId="12" fillId="14" borderId="1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0" fontId="10" fillId="4" borderId="33" xfId="0" applyFont="1" applyFill="1" applyBorder="1" applyAlignment="1" applyProtection="1">
      <alignment horizontal="center" vertical="center"/>
      <protection locked="0"/>
    </xf>
    <xf numFmtId="0" fontId="10" fillId="4" borderId="3" xfId="0" applyFont="1" applyFill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12" fillId="14" borderId="2" xfId="0" applyFont="1" applyFill="1" applyBorder="1" applyAlignment="1" applyProtection="1">
      <alignment horizontal="center" vertical="center" wrapText="1"/>
      <protection locked="0"/>
    </xf>
    <xf numFmtId="164" fontId="12" fillId="8" borderId="7" xfId="1" applyFont="1" applyFill="1" applyBorder="1" applyAlignment="1" applyProtection="1">
      <alignment horizontal="center" vertical="center"/>
      <protection locked="0"/>
    </xf>
    <xf numFmtId="164" fontId="12" fillId="8" borderId="0" xfId="1" applyFont="1" applyFill="1" applyBorder="1" applyAlignment="1" applyProtection="1">
      <alignment horizontal="center" vertical="center"/>
      <protection locked="0"/>
    </xf>
    <xf numFmtId="164" fontId="12" fillId="8" borderId="45" xfId="1" applyFont="1" applyFill="1" applyBorder="1" applyAlignment="1" applyProtection="1">
      <alignment horizontal="center" vertical="center"/>
      <protection locked="0"/>
    </xf>
    <xf numFmtId="0" fontId="17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17" xfId="0" applyFont="1" applyBorder="1" applyAlignment="1" applyProtection="1">
      <alignment horizontal="center" vertical="center"/>
      <protection locked="0"/>
    </xf>
    <xf numFmtId="0" fontId="17" fillId="0" borderId="37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17" fillId="0" borderId="38" xfId="0" applyFont="1" applyBorder="1" applyAlignment="1" applyProtection="1">
      <alignment horizontal="center" vertical="center"/>
      <protection locked="0"/>
    </xf>
    <xf numFmtId="0" fontId="12" fillId="14" borderId="18" xfId="0" applyFont="1" applyFill="1" applyBorder="1" applyAlignment="1" applyProtection="1">
      <alignment horizontal="center" vertical="center"/>
      <protection locked="0"/>
    </xf>
    <xf numFmtId="0" fontId="12" fillId="14" borderId="19" xfId="0" applyFont="1" applyFill="1" applyBorder="1" applyAlignment="1" applyProtection="1">
      <alignment horizontal="center" vertical="center"/>
      <protection locked="0"/>
    </xf>
    <xf numFmtId="0" fontId="11" fillId="14" borderId="21" xfId="0" applyFont="1" applyFill="1" applyBorder="1" applyAlignment="1" applyProtection="1">
      <alignment horizontal="center" vertical="center"/>
      <protection locked="0"/>
    </xf>
    <xf numFmtId="0" fontId="11" fillId="14" borderId="22" xfId="0" applyFont="1" applyFill="1" applyBorder="1" applyAlignment="1" applyProtection="1">
      <alignment horizontal="center" vertical="center"/>
      <protection locked="0"/>
    </xf>
    <xf numFmtId="0" fontId="11" fillId="14" borderId="31" xfId="0" applyFont="1" applyFill="1" applyBorder="1" applyAlignment="1" applyProtection="1">
      <alignment horizontal="center" vertical="center"/>
      <protection locked="0"/>
    </xf>
    <xf numFmtId="0" fontId="11" fillId="14" borderId="23" xfId="0" applyFont="1" applyFill="1" applyBorder="1" applyAlignment="1" applyProtection="1">
      <alignment horizontal="center" vertical="center"/>
      <protection locked="0"/>
    </xf>
    <xf numFmtId="0" fontId="16" fillId="8" borderId="9" xfId="0" applyFont="1" applyFill="1" applyBorder="1" applyAlignment="1" applyProtection="1">
      <alignment horizontal="center" vertical="center"/>
      <protection locked="0"/>
    </xf>
    <xf numFmtId="0" fontId="16" fillId="8" borderId="1" xfId="0" applyFont="1" applyFill="1" applyBorder="1" applyAlignment="1" applyProtection="1">
      <alignment horizontal="center" vertical="center"/>
      <protection locked="0"/>
    </xf>
    <xf numFmtId="0" fontId="16" fillId="8" borderId="10" xfId="0" applyFont="1" applyFill="1" applyBorder="1" applyAlignment="1" applyProtection="1">
      <alignment horizontal="center" vertical="center"/>
      <protection locked="0"/>
    </xf>
    <xf numFmtId="0" fontId="10" fillId="0" borderId="33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64" fontId="12" fillId="14" borderId="13" xfId="1" applyFont="1" applyFill="1" applyBorder="1" applyAlignment="1" applyProtection="1">
      <alignment horizontal="right" vertical="center"/>
      <protection locked="0"/>
    </xf>
    <xf numFmtId="164" fontId="12" fillId="14" borderId="11" xfId="1" applyFont="1" applyFill="1" applyBorder="1" applyAlignment="1" applyProtection="1">
      <alignment horizontal="right" vertical="center"/>
      <protection locked="0"/>
    </xf>
    <xf numFmtId="0" fontId="12" fillId="8" borderId="13" xfId="0" applyFont="1" applyFill="1" applyBorder="1" applyAlignment="1" applyProtection="1">
      <alignment horizontal="left" vertical="center"/>
      <protection locked="0"/>
    </xf>
    <xf numFmtId="0" fontId="12" fillId="8" borderId="11" xfId="0" applyFont="1" applyFill="1" applyBorder="1" applyAlignment="1" applyProtection="1">
      <alignment horizontal="left" vertical="center"/>
      <protection locked="0"/>
    </xf>
    <xf numFmtId="0" fontId="12" fillId="8" borderId="3" xfId="0" applyFont="1" applyFill="1" applyBorder="1" applyAlignment="1" applyProtection="1">
      <alignment horizontal="left" vertical="center"/>
      <protection locked="0"/>
    </xf>
    <xf numFmtId="0" fontId="12" fillId="12" borderId="9" xfId="0" applyFont="1" applyFill="1" applyBorder="1" applyAlignment="1" applyProtection="1">
      <alignment horizontal="left" vertical="center"/>
      <protection locked="0"/>
    </xf>
    <xf numFmtId="0" fontId="12" fillId="12" borderId="1" xfId="0" applyFont="1" applyFill="1" applyBorder="1" applyAlignment="1" applyProtection="1">
      <alignment horizontal="left" vertical="center"/>
      <protection locked="0"/>
    </xf>
    <xf numFmtId="0" fontId="10" fillId="0" borderId="13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167" fontId="12" fillId="14" borderId="13" xfId="2" applyFont="1" applyFill="1" applyBorder="1" applyAlignment="1" applyProtection="1">
      <alignment horizontal="left" vertical="top"/>
      <protection locked="0"/>
    </xf>
    <xf numFmtId="167" fontId="12" fillId="14" borderId="11" xfId="2" applyFont="1" applyFill="1" applyBorder="1" applyAlignment="1" applyProtection="1">
      <alignment horizontal="left" vertical="top"/>
      <protection locked="0"/>
    </xf>
    <xf numFmtId="167" fontId="12" fillId="14" borderId="3" xfId="2" applyFont="1" applyFill="1" applyBorder="1" applyAlignment="1" applyProtection="1">
      <alignment horizontal="left" vertical="top"/>
      <protection locked="0"/>
    </xf>
    <xf numFmtId="0" fontId="10" fillId="0" borderId="9" xfId="0" applyFont="1" applyBorder="1" applyAlignment="1" applyProtection="1">
      <alignment horizontal="left" vertical="center"/>
      <protection locked="0"/>
    </xf>
    <xf numFmtId="0" fontId="12" fillId="14" borderId="13" xfId="0" applyFont="1" applyFill="1" applyBorder="1" applyAlignment="1" applyProtection="1">
      <alignment horizontal="left" vertical="center"/>
      <protection locked="0"/>
    </xf>
    <xf numFmtId="0" fontId="12" fillId="14" borderId="11" xfId="0" applyFont="1" applyFill="1" applyBorder="1" applyAlignment="1" applyProtection="1">
      <alignment horizontal="left" vertical="center"/>
      <protection locked="0"/>
    </xf>
    <xf numFmtId="0" fontId="12" fillId="14" borderId="3" xfId="0" applyFont="1" applyFill="1" applyBorder="1" applyAlignment="1" applyProtection="1">
      <alignment horizontal="left" vertical="center"/>
      <protection locked="0"/>
    </xf>
    <xf numFmtId="171" fontId="23" fillId="7" borderId="9" xfId="0" applyNumberFormat="1" applyFont="1" applyFill="1" applyBorder="1" applyAlignment="1" applyProtection="1">
      <alignment horizontal="left" vertical="center"/>
      <protection locked="0"/>
    </xf>
    <xf numFmtId="171" fontId="23" fillId="7" borderId="1" xfId="0" applyNumberFormat="1" applyFont="1" applyFill="1" applyBorder="1" applyAlignment="1" applyProtection="1">
      <alignment horizontal="left" vertical="center"/>
      <protection locked="0"/>
    </xf>
    <xf numFmtId="0" fontId="17" fillId="12" borderId="13" xfId="0" applyFont="1" applyFill="1" applyBorder="1" applyAlignment="1" applyProtection="1">
      <alignment horizontal="center" vertical="center"/>
      <protection locked="0"/>
    </xf>
    <xf numFmtId="0" fontId="17" fillId="12" borderId="11" xfId="0" applyFont="1" applyFill="1" applyBorder="1" applyAlignment="1" applyProtection="1">
      <alignment horizontal="center" vertical="center"/>
      <protection locked="0"/>
    </xf>
    <xf numFmtId="0" fontId="17" fillId="12" borderId="3" xfId="0" applyFont="1" applyFill="1" applyBorder="1" applyAlignment="1" applyProtection="1">
      <alignment horizontal="center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 applyProtection="1">
      <alignment horizontal="center" vertical="center"/>
      <protection locked="0"/>
    </xf>
    <xf numFmtId="0" fontId="17" fillId="12" borderId="33" xfId="0" applyFont="1" applyFill="1" applyBorder="1" applyAlignment="1" applyProtection="1">
      <alignment horizontal="center"/>
      <protection locked="0"/>
    </xf>
    <xf numFmtId="0" fontId="17" fillId="12" borderId="11" xfId="0" applyFont="1" applyFill="1" applyBorder="1" applyAlignment="1" applyProtection="1">
      <alignment horizontal="center"/>
      <protection locked="0"/>
    </xf>
    <xf numFmtId="0" fontId="17" fillId="12" borderId="12" xfId="0" applyFont="1" applyFill="1" applyBorder="1" applyAlignment="1" applyProtection="1">
      <alignment horizont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horizontal="center" vertical="center"/>
      <protection locked="0"/>
    </xf>
    <xf numFmtId="0" fontId="17" fillId="12" borderId="12" xfId="0" applyFont="1" applyFill="1" applyBorder="1" applyAlignment="1" applyProtection="1">
      <alignment horizontal="center" vertical="center"/>
      <protection locked="0"/>
    </xf>
    <xf numFmtId="171" fontId="11" fillId="14" borderId="14" xfId="0" applyNumberFormat="1" applyFont="1" applyFill="1" applyBorder="1" applyAlignment="1" applyProtection="1">
      <alignment horizontal="center" vertical="center"/>
      <protection locked="0"/>
    </xf>
    <xf numFmtId="171" fontId="11" fillId="14" borderId="15" xfId="0" applyNumberFormat="1" applyFont="1" applyFill="1" applyBorder="1" applyAlignment="1" applyProtection="1">
      <alignment horizontal="center" vertical="center"/>
      <protection locked="0"/>
    </xf>
    <xf numFmtId="171" fontId="11" fillId="14" borderId="17" xfId="0" applyNumberFormat="1" applyFont="1" applyFill="1" applyBorder="1" applyAlignment="1" applyProtection="1">
      <alignment horizontal="center" vertical="center"/>
      <protection locked="0"/>
    </xf>
    <xf numFmtId="0" fontId="13" fillId="12" borderId="1" xfId="0" applyFont="1" applyFill="1" applyBorder="1" applyAlignment="1">
      <alignment horizontal="center" vertical="center"/>
    </xf>
    <xf numFmtId="0" fontId="12" fillId="14" borderId="1" xfId="0" applyFont="1" applyFill="1" applyBorder="1" applyAlignment="1">
      <alignment horizontal="left" vertical="center"/>
    </xf>
    <xf numFmtId="0" fontId="26" fillId="8" borderId="33" xfId="0" applyFont="1" applyFill="1" applyBorder="1" applyAlignment="1" applyProtection="1">
      <alignment horizontal="center" vertical="center" wrapText="1"/>
      <protection locked="0"/>
    </xf>
    <xf numFmtId="0" fontId="26" fillId="8" borderId="11" xfId="0" applyFont="1" applyFill="1" applyBorder="1" applyAlignment="1" applyProtection="1">
      <alignment horizontal="center" vertical="center" wrapText="1"/>
      <protection locked="0"/>
    </xf>
    <xf numFmtId="0" fontId="12" fillId="14" borderId="1" xfId="0" applyFont="1" applyFill="1" applyBorder="1" applyAlignment="1">
      <alignment horizontal="center" vertical="center" wrapText="1"/>
    </xf>
    <xf numFmtId="0" fontId="12" fillId="14" borderId="24" xfId="0" applyFont="1" applyFill="1" applyBorder="1" applyAlignment="1">
      <alignment horizontal="center" vertical="center"/>
    </xf>
    <xf numFmtId="0" fontId="12" fillId="14" borderId="27" xfId="0" applyFont="1" applyFill="1" applyBorder="1" applyAlignment="1">
      <alignment horizontal="center" vertical="center"/>
    </xf>
    <xf numFmtId="0" fontId="12" fillId="14" borderId="28" xfId="0" applyFont="1" applyFill="1" applyBorder="1" applyAlignment="1">
      <alignment horizontal="center" vertical="center"/>
    </xf>
    <xf numFmtId="0" fontId="12" fillId="14" borderId="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14" borderId="43" xfId="0" applyFont="1" applyFill="1" applyBorder="1" applyAlignment="1">
      <alignment horizontal="center" vertical="center"/>
    </xf>
    <xf numFmtId="0" fontId="12" fillId="14" borderId="0" xfId="0" applyFont="1" applyFill="1" applyAlignment="1">
      <alignment horizontal="center" vertical="center"/>
    </xf>
    <xf numFmtId="0" fontId="12" fillId="14" borderId="45" xfId="0" applyFont="1" applyFill="1" applyBorder="1" applyAlignment="1">
      <alignment horizontal="center" vertical="center"/>
    </xf>
    <xf numFmtId="0" fontId="3" fillId="12" borderId="0" xfId="0" applyFont="1" applyFill="1" applyAlignment="1" applyProtection="1">
      <alignment horizontal="center"/>
      <protection locked="0"/>
    </xf>
    <xf numFmtId="0" fontId="3" fillId="1" borderId="33" xfId="0" applyFont="1" applyFill="1" applyBorder="1" applyAlignment="1" applyProtection="1">
      <alignment horizontal="center"/>
      <protection locked="0"/>
    </xf>
    <xf numFmtId="0" fontId="3" fillId="1" borderId="11" xfId="0" applyFont="1" applyFill="1" applyBorder="1" applyAlignment="1" applyProtection="1">
      <alignment horizontal="center"/>
      <protection locked="0"/>
    </xf>
    <xf numFmtId="0" fontId="3" fillId="1" borderId="3" xfId="0" applyFont="1" applyFill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 vertical="center" textRotation="255" wrapText="1"/>
      <protection locked="0"/>
    </xf>
    <xf numFmtId="0" fontId="4" fillId="0" borderId="35" xfId="0" applyFont="1" applyBorder="1" applyAlignment="1" applyProtection="1">
      <alignment horizontal="center" vertical="center" textRotation="255" wrapText="1"/>
      <protection locked="0"/>
    </xf>
    <xf numFmtId="0" fontId="4" fillId="0" borderId="34" xfId="0" applyFont="1" applyBorder="1" applyAlignment="1" applyProtection="1">
      <alignment horizontal="center" vertical="center" textRotation="255" wrapText="1"/>
      <protection locked="0"/>
    </xf>
    <xf numFmtId="0" fontId="4" fillId="1" borderId="1" xfId="0" applyFont="1" applyFill="1" applyBorder="1" applyAlignment="1" applyProtection="1">
      <alignment horizontal="left" vertical="center"/>
      <protection locked="0"/>
    </xf>
    <xf numFmtId="169" fontId="1" fillId="0" borderId="1" xfId="1" applyNumberFormat="1" applyFont="1" applyBorder="1" applyAlignment="1" applyProtection="1">
      <alignment horizontal="right"/>
    </xf>
    <xf numFmtId="169" fontId="4" fillId="1" borderId="1" xfId="1" applyNumberFormat="1" applyFont="1" applyFill="1" applyBorder="1" applyAlignment="1" applyProtection="1">
      <alignment horizontal="right"/>
    </xf>
    <xf numFmtId="0" fontId="0" fillId="0" borderId="33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3" fillId="3" borderId="29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 applyProtection="1">
      <alignment horizontal="center" vertical="center" wrapText="1"/>
      <protection locked="0"/>
    </xf>
    <xf numFmtId="0" fontId="3" fillId="3" borderId="31" xfId="0" applyFont="1" applyFill="1" applyBorder="1" applyAlignment="1" applyProtection="1">
      <alignment horizontal="center" vertical="center" wrapText="1"/>
      <protection locked="0"/>
    </xf>
    <xf numFmtId="0" fontId="3" fillId="3" borderId="3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textRotation="255" wrapText="1"/>
      <protection locked="0"/>
    </xf>
    <xf numFmtId="169" fontId="2" fillId="16" borderId="1" xfId="1" applyNumberFormat="1" applyFont="1" applyFill="1" applyBorder="1" applyAlignment="1" applyProtection="1">
      <alignment horizontal="center" vertical="center"/>
      <protection locked="0"/>
    </xf>
    <xf numFmtId="169" fontId="1" fillId="0" borderId="1" xfId="1" applyNumberFormat="1" applyFont="1" applyBorder="1" applyAlignment="1" applyProtection="1">
      <alignment horizontal="center"/>
    </xf>
    <xf numFmtId="169" fontId="2" fillId="1" borderId="1" xfId="0" applyNumberFormat="1" applyFont="1" applyFill="1" applyBorder="1" applyAlignment="1">
      <alignment horizontal="center"/>
    </xf>
    <xf numFmtId="0" fontId="2" fillId="1" borderId="1" xfId="0" applyFont="1" applyFill="1" applyBorder="1" applyAlignment="1">
      <alignment horizontal="center"/>
    </xf>
    <xf numFmtId="0" fontId="3" fillId="12" borderId="2" xfId="0" applyFont="1" applyFill="1" applyBorder="1" applyAlignment="1" applyProtection="1">
      <alignment horizontal="center" vertical="center" wrapText="1"/>
      <protection locked="0"/>
    </xf>
    <xf numFmtId="0" fontId="3" fillId="12" borderId="34" xfId="0" applyFont="1" applyFill="1" applyBorder="1" applyAlignment="1" applyProtection="1">
      <alignment horizontal="center" vertical="center" wrapText="1"/>
      <protection locked="0"/>
    </xf>
    <xf numFmtId="0" fontId="3" fillId="13" borderId="1" xfId="0" applyFont="1" applyFill="1" applyBorder="1" applyAlignment="1" applyProtection="1">
      <alignment horizontal="center"/>
      <protection locked="0"/>
    </xf>
    <xf numFmtId="0" fontId="2" fillId="2" borderId="33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3" fillId="12" borderId="33" xfId="0" applyFont="1" applyFill="1" applyBorder="1" applyAlignment="1" applyProtection="1">
      <alignment horizontal="center"/>
      <protection locked="0"/>
    </xf>
    <xf numFmtId="0" fontId="3" fillId="12" borderId="11" xfId="0" applyFont="1" applyFill="1" applyBorder="1" applyAlignment="1" applyProtection="1">
      <alignment horizontal="center"/>
      <protection locked="0"/>
    </xf>
    <xf numFmtId="0" fontId="3" fillId="12" borderId="3" xfId="0" applyFont="1" applyFill="1" applyBorder="1" applyAlignment="1" applyProtection="1">
      <alignment horizontal="center"/>
      <protection locked="0"/>
    </xf>
    <xf numFmtId="0" fontId="2" fillId="12" borderId="33" xfId="0" applyFont="1" applyFill="1" applyBorder="1" applyAlignment="1" applyProtection="1">
      <alignment horizontal="center"/>
      <protection locked="0"/>
    </xf>
    <xf numFmtId="0" fontId="2" fillId="12" borderId="11" xfId="0" applyFont="1" applyFill="1" applyBorder="1" applyAlignment="1" applyProtection="1">
      <alignment horizontal="center"/>
      <protection locked="0"/>
    </xf>
    <xf numFmtId="0" fontId="2" fillId="12" borderId="3" xfId="0" applyFont="1" applyFill="1" applyBorder="1" applyAlignment="1" applyProtection="1">
      <alignment horizontal="center"/>
      <protection locked="0"/>
    </xf>
    <xf numFmtId="0" fontId="0" fillId="0" borderId="33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2" borderId="33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3" fillId="12" borderId="29" xfId="0" applyFont="1" applyFill="1" applyBorder="1" applyAlignment="1" applyProtection="1">
      <alignment horizontal="center" vertical="center" wrapText="1"/>
      <protection locked="0"/>
    </xf>
    <xf numFmtId="0" fontId="3" fillId="12" borderId="15" xfId="0" applyFont="1" applyFill="1" applyBorder="1" applyAlignment="1" applyProtection="1">
      <alignment horizontal="center" vertical="center" wrapText="1"/>
      <protection locked="0"/>
    </xf>
    <xf numFmtId="0" fontId="3" fillId="12" borderId="16" xfId="0" applyFont="1" applyFill="1" applyBorder="1" applyAlignment="1" applyProtection="1">
      <alignment horizontal="center" vertical="center" wrapText="1"/>
      <protection locked="0"/>
    </xf>
    <xf numFmtId="0" fontId="18" fillId="12" borderId="2" xfId="0" applyFont="1" applyFill="1" applyBorder="1" applyAlignment="1" applyProtection="1">
      <alignment horizontal="center" vertical="center" textRotation="255"/>
      <protection locked="0"/>
    </xf>
    <xf numFmtId="0" fontId="18" fillId="12" borderId="35" xfId="0" applyFont="1" applyFill="1" applyBorder="1" applyAlignment="1" applyProtection="1">
      <alignment horizontal="center" vertical="center" textRotation="255"/>
      <protection locked="0"/>
    </xf>
    <xf numFmtId="0" fontId="18" fillId="12" borderId="34" xfId="0" applyFont="1" applyFill="1" applyBorder="1" applyAlignment="1" applyProtection="1">
      <alignment horizontal="center" vertical="center" textRotation="255"/>
      <protection locked="0"/>
    </xf>
    <xf numFmtId="0" fontId="2" fillId="12" borderId="33" xfId="0" applyFont="1" applyFill="1" applyBorder="1" applyAlignment="1" applyProtection="1">
      <alignment horizontal="center" vertical="center" wrapText="1"/>
      <protection locked="0"/>
    </xf>
    <xf numFmtId="0" fontId="2" fillId="12" borderId="3" xfId="0" applyFont="1" applyFill="1" applyBorder="1" applyAlignment="1" applyProtection="1">
      <alignment horizontal="center" vertical="center" wrapText="1"/>
      <protection locked="0"/>
    </xf>
    <xf numFmtId="169" fontId="1" fillId="0" borderId="33" xfId="1" applyNumberFormat="1" applyFont="1" applyBorder="1" applyAlignment="1" applyProtection="1">
      <alignment horizontal="center"/>
    </xf>
    <xf numFmtId="169" fontId="1" fillId="0" borderId="3" xfId="1" applyNumberFormat="1" applyFont="1" applyBorder="1" applyAlignment="1" applyProtection="1">
      <alignment horizontal="center"/>
    </xf>
    <xf numFmtId="169" fontId="3" fillId="12" borderId="33" xfId="1" applyNumberFormat="1" applyFont="1" applyFill="1" applyBorder="1" applyAlignment="1" applyProtection="1">
      <alignment horizontal="center"/>
    </xf>
    <xf numFmtId="169" fontId="3" fillId="12" borderId="3" xfId="1" applyNumberFormat="1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  <protection locked="0"/>
    </xf>
    <xf numFmtId="169" fontId="25" fillId="12" borderId="29" xfId="1" applyNumberFormat="1" applyFont="1" applyFill="1" applyBorder="1" applyAlignment="1" applyProtection="1">
      <alignment horizontal="center" vertical="center"/>
    </xf>
    <xf numFmtId="169" fontId="25" fillId="12" borderId="16" xfId="1" applyNumberFormat="1" applyFont="1" applyFill="1" applyBorder="1" applyAlignment="1" applyProtection="1">
      <alignment horizontal="center" vertical="center"/>
    </xf>
    <xf numFmtId="169" fontId="25" fillId="12" borderId="4" xfId="1" applyNumberFormat="1" applyFont="1" applyFill="1" applyBorder="1" applyAlignment="1" applyProtection="1">
      <alignment horizontal="center" vertical="center"/>
    </xf>
    <xf numFmtId="169" fontId="25" fillId="12" borderId="36" xfId="1" applyNumberFormat="1" applyFont="1" applyFill="1" applyBorder="1" applyAlignment="1" applyProtection="1">
      <alignment horizontal="center" vertical="center"/>
    </xf>
    <xf numFmtId="169" fontId="25" fillId="12" borderId="30" xfId="1" applyNumberFormat="1" applyFont="1" applyFill="1" applyBorder="1" applyAlignment="1" applyProtection="1">
      <alignment horizontal="center" vertical="center"/>
    </xf>
    <xf numFmtId="169" fontId="25" fillId="12" borderId="32" xfId="1" applyNumberFormat="1" applyFont="1" applyFill="1" applyBorder="1" applyAlignment="1" applyProtection="1">
      <alignment horizontal="center" vertical="center"/>
    </xf>
    <xf numFmtId="169" fontId="2" fillId="0" borderId="33" xfId="0" applyNumberFormat="1" applyFont="1" applyBorder="1" applyAlignment="1">
      <alignment horizontal="center"/>
    </xf>
    <xf numFmtId="169" fontId="2" fillId="0" borderId="3" xfId="0" applyNumberFormat="1" applyFont="1" applyBorder="1" applyAlignment="1">
      <alignment horizontal="center"/>
    </xf>
    <xf numFmtId="9" fontId="3" fillId="2" borderId="33" xfId="4" applyFont="1" applyFill="1" applyBorder="1" applyAlignment="1" applyProtection="1">
      <alignment horizontal="center"/>
    </xf>
    <xf numFmtId="9" fontId="3" fillId="2" borderId="3" xfId="4" applyFont="1" applyFill="1" applyBorder="1" applyAlignment="1" applyProtection="1">
      <alignment horizontal="center"/>
    </xf>
    <xf numFmtId="0" fontId="3" fillId="12" borderId="29" xfId="0" applyFont="1" applyFill="1" applyBorder="1" applyAlignment="1" applyProtection="1">
      <alignment horizontal="center" vertical="center"/>
      <protection locked="0"/>
    </xf>
    <xf numFmtId="0" fontId="3" fillId="12" borderId="15" xfId="0" applyFont="1" applyFill="1" applyBorder="1" applyAlignment="1" applyProtection="1">
      <alignment horizontal="center" vertical="center"/>
      <protection locked="0"/>
    </xf>
    <xf numFmtId="0" fontId="3" fillId="12" borderId="16" xfId="0" applyFont="1" applyFill="1" applyBorder="1" applyAlignment="1" applyProtection="1">
      <alignment horizontal="center" vertical="center"/>
      <protection locked="0"/>
    </xf>
    <xf numFmtId="0" fontId="3" fillId="12" borderId="4" xfId="0" applyFont="1" applyFill="1" applyBorder="1" applyAlignment="1" applyProtection="1">
      <alignment horizontal="center" vertical="center"/>
      <protection locked="0"/>
    </xf>
    <xf numFmtId="0" fontId="3" fillId="12" borderId="0" xfId="0" applyFont="1" applyFill="1" applyAlignment="1" applyProtection="1">
      <alignment horizontal="center" vertical="center"/>
      <protection locked="0"/>
    </xf>
    <xf numFmtId="0" fontId="3" fillId="12" borderId="36" xfId="0" applyFont="1" applyFill="1" applyBorder="1" applyAlignment="1" applyProtection="1">
      <alignment horizontal="center" vertical="center"/>
      <protection locked="0"/>
    </xf>
    <xf numFmtId="172" fontId="28" fillId="12" borderId="1" xfId="2" applyNumberFormat="1" applyFont="1" applyFill="1" applyBorder="1" applyAlignment="1" applyProtection="1">
      <alignment horizontal="center" vertical="center"/>
    </xf>
    <xf numFmtId="0" fontId="3" fillId="12" borderId="30" xfId="0" applyFont="1" applyFill="1" applyBorder="1" applyAlignment="1" applyProtection="1">
      <alignment horizontal="center" vertical="center"/>
      <protection locked="0"/>
    </xf>
    <xf numFmtId="0" fontId="3" fillId="12" borderId="31" xfId="0" applyFont="1" applyFill="1" applyBorder="1" applyAlignment="1" applyProtection="1">
      <alignment horizontal="center" vertical="center"/>
      <protection locked="0"/>
    </xf>
    <xf numFmtId="0" fontId="3" fillId="12" borderId="32" xfId="0" applyFont="1" applyFill="1" applyBorder="1" applyAlignment="1" applyProtection="1">
      <alignment horizontal="center" vertical="center"/>
      <protection locked="0"/>
    </xf>
    <xf numFmtId="0" fontId="3" fillId="12" borderId="1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12" borderId="33" xfId="0" applyFont="1" applyFill="1" applyBorder="1" applyAlignment="1" applyProtection="1">
      <alignment horizontal="left"/>
      <protection locked="0"/>
    </xf>
    <xf numFmtId="0" fontId="4" fillId="12" borderId="11" xfId="0" applyFont="1" applyFill="1" applyBorder="1" applyAlignment="1" applyProtection="1">
      <alignment horizontal="left"/>
      <protection locked="0"/>
    </xf>
    <xf numFmtId="0" fontId="4" fillId="12" borderId="3" xfId="0" applyFont="1" applyFill="1" applyBorder="1" applyAlignment="1" applyProtection="1">
      <alignment horizontal="left"/>
      <protection locked="0"/>
    </xf>
    <xf numFmtId="0" fontId="4" fillId="0" borderId="33" xfId="0" applyFont="1" applyBorder="1" applyAlignment="1" applyProtection="1">
      <alignment horizontal="left"/>
      <protection locked="0"/>
    </xf>
    <xf numFmtId="0" fontId="4" fillId="0" borderId="11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3" fillId="13" borderId="33" xfId="0" applyFont="1" applyFill="1" applyBorder="1" applyAlignment="1" applyProtection="1">
      <alignment horizontal="center"/>
      <protection locked="0"/>
    </xf>
    <xf numFmtId="0" fontId="3" fillId="13" borderId="11" xfId="0" applyFont="1" applyFill="1" applyBorder="1" applyAlignment="1" applyProtection="1">
      <alignment horizontal="center"/>
      <protection locked="0"/>
    </xf>
    <xf numFmtId="0" fontId="3" fillId="13" borderId="3" xfId="0" applyFont="1" applyFill="1" applyBorder="1" applyAlignment="1" applyProtection="1">
      <alignment horizontal="center"/>
      <protection locked="0"/>
    </xf>
    <xf numFmtId="0" fontId="4" fillId="12" borderId="2" xfId="0" applyFont="1" applyFill="1" applyBorder="1" applyAlignment="1" applyProtection="1">
      <alignment horizontal="center" vertical="center" textRotation="255"/>
      <protection locked="0"/>
    </xf>
    <xf numFmtId="0" fontId="4" fillId="12" borderId="35" xfId="0" applyFont="1" applyFill="1" applyBorder="1" applyAlignment="1" applyProtection="1">
      <alignment horizontal="center" vertical="center" textRotation="255"/>
      <protection locked="0"/>
    </xf>
    <xf numFmtId="0" fontId="4" fillId="12" borderId="34" xfId="0" applyFont="1" applyFill="1" applyBorder="1" applyAlignment="1" applyProtection="1">
      <alignment horizontal="center" vertical="center" textRotation="255"/>
      <protection locked="0"/>
    </xf>
    <xf numFmtId="0" fontId="5" fillId="12" borderId="1" xfId="0" applyFont="1" applyFill="1" applyBorder="1" applyAlignment="1" applyProtection="1">
      <alignment horizontal="center"/>
      <protection locked="0"/>
    </xf>
    <xf numFmtId="0" fontId="4" fillId="12" borderId="33" xfId="0" applyFont="1" applyFill="1" applyBorder="1" applyAlignment="1" applyProtection="1">
      <alignment horizontal="center"/>
      <protection locked="0"/>
    </xf>
    <xf numFmtId="0" fontId="4" fillId="12" borderId="11" xfId="0" applyFont="1" applyFill="1" applyBorder="1" applyAlignment="1" applyProtection="1">
      <alignment horizontal="center"/>
      <protection locked="0"/>
    </xf>
    <xf numFmtId="0" fontId="4" fillId="12" borderId="3" xfId="0" applyFont="1" applyFill="1" applyBorder="1" applyAlignment="1" applyProtection="1">
      <alignment horizontal="center"/>
      <protection locked="0"/>
    </xf>
    <xf numFmtId="169" fontId="3" fillId="12" borderId="1" xfId="0" applyNumberFormat="1" applyFont="1" applyFill="1" applyBorder="1" applyAlignment="1">
      <alignment horizontal="center"/>
    </xf>
    <xf numFmtId="169" fontId="4" fillId="0" borderId="33" xfId="1" applyNumberFormat="1" applyFont="1" applyBorder="1" applyAlignment="1" applyProtection="1">
      <alignment horizontal="center"/>
    </xf>
    <xf numFmtId="169" fontId="4" fillId="0" borderId="3" xfId="1" applyNumberFormat="1" applyFont="1" applyBorder="1" applyAlignment="1" applyProtection="1">
      <alignment horizontal="center"/>
    </xf>
    <xf numFmtId="0" fontId="2" fillId="0" borderId="33" xfId="0" applyFont="1" applyBorder="1" applyAlignment="1" applyProtection="1">
      <alignment horizontal="left"/>
      <protection locked="0"/>
    </xf>
    <xf numFmtId="0" fontId="2" fillId="0" borderId="11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169" fontId="1" fillId="12" borderId="2" xfId="1" applyNumberFormat="1" applyFont="1" applyFill="1" applyBorder="1" applyAlignment="1" applyProtection="1">
      <alignment horizontal="center"/>
      <protection locked="0"/>
    </xf>
    <xf numFmtId="169" fontId="1" fillId="12" borderId="35" xfId="1" applyNumberFormat="1" applyFont="1" applyFill="1" applyBorder="1" applyAlignment="1" applyProtection="1">
      <alignment horizontal="center"/>
      <protection locked="0"/>
    </xf>
    <xf numFmtId="169" fontId="1" fillId="12" borderId="34" xfId="1" applyNumberFormat="1" applyFont="1" applyFill="1" applyBorder="1" applyAlignment="1" applyProtection="1">
      <alignment horizontal="center"/>
      <protection locked="0"/>
    </xf>
    <xf numFmtId="0" fontId="6" fillId="12" borderId="2" xfId="0" applyFont="1" applyFill="1" applyBorder="1" applyAlignment="1" applyProtection="1">
      <alignment horizontal="center" vertical="center" textRotation="255"/>
      <protection locked="0"/>
    </xf>
    <xf numFmtId="0" fontId="6" fillId="12" borderId="35" xfId="0" applyFont="1" applyFill="1" applyBorder="1" applyAlignment="1" applyProtection="1">
      <alignment horizontal="center" vertical="center" textRotation="255"/>
      <protection locked="0"/>
    </xf>
    <xf numFmtId="0" fontId="6" fillId="12" borderId="34" xfId="0" applyFont="1" applyFill="1" applyBorder="1" applyAlignment="1" applyProtection="1">
      <alignment horizontal="center" vertical="center" textRotation="255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12" borderId="29" xfId="0" applyFill="1" applyBorder="1" applyAlignment="1" applyProtection="1">
      <alignment horizontal="center"/>
      <protection locked="0"/>
    </xf>
    <xf numFmtId="0" fontId="0" fillId="12" borderId="15" xfId="0" applyFill="1" applyBorder="1" applyAlignment="1" applyProtection="1">
      <alignment horizontal="center"/>
      <protection locked="0"/>
    </xf>
    <xf numFmtId="0" fontId="0" fillId="12" borderId="16" xfId="0" applyFill="1" applyBorder="1" applyAlignment="1" applyProtection="1">
      <alignment horizontal="center"/>
      <protection locked="0"/>
    </xf>
    <xf numFmtId="0" fontId="0" fillId="12" borderId="30" xfId="0" applyFill="1" applyBorder="1" applyAlignment="1" applyProtection="1">
      <alignment horizontal="center"/>
      <protection locked="0"/>
    </xf>
    <xf numFmtId="0" fontId="0" fillId="12" borderId="31" xfId="0" applyFill="1" applyBorder="1" applyAlignment="1" applyProtection="1">
      <alignment horizontal="center"/>
      <protection locked="0"/>
    </xf>
    <xf numFmtId="0" fontId="0" fillId="12" borderId="32" xfId="0" applyFill="1" applyBorder="1" applyAlignment="1" applyProtection="1">
      <alignment horizontal="center"/>
      <protection locked="0"/>
    </xf>
    <xf numFmtId="0" fontId="2" fillId="12" borderId="33" xfId="0" applyFont="1" applyFill="1" applyBorder="1" applyAlignment="1" applyProtection="1">
      <alignment horizontal="center" vertical="center"/>
      <protection locked="0"/>
    </xf>
    <xf numFmtId="0" fontId="2" fillId="12" borderId="11" xfId="0" applyFont="1" applyFill="1" applyBorder="1" applyAlignment="1" applyProtection="1">
      <alignment horizontal="center" vertical="center"/>
      <protection locked="0"/>
    </xf>
    <xf numFmtId="0" fontId="2" fillId="12" borderId="3" xfId="0" applyFont="1" applyFill="1" applyBorder="1" applyAlignment="1" applyProtection="1">
      <alignment horizontal="center" vertical="center"/>
      <protection locked="0"/>
    </xf>
    <xf numFmtId="169" fontId="19" fillId="12" borderId="33" xfId="0" applyNumberFormat="1" applyFont="1" applyFill="1" applyBorder="1" applyAlignment="1">
      <alignment horizontal="center" vertical="center"/>
    </xf>
    <xf numFmtId="169" fontId="19" fillId="12" borderId="3" xfId="0" applyNumberFormat="1" applyFont="1" applyFill="1" applyBorder="1" applyAlignment="1">
      <alignment horizontal="center" vertical="center"/>
    </xf>
    <xf numFmtId="0" fontId="2" fillId="0" borderId="12" xfId="0" applyFont="1" applyBorder="1" applyAlignment="1" applyProtection="1">
      <alignment horizontal="center"/>
      <protection locked="0"/>
    </xf>
    <xf numFmtId="0" fontId="8" fillId="0" borderId="33" xfId="0" applyFont="1" applyBorder="1" applyAlignment="1" applyProtection="1">
      <alignment horizontal="left"/>
      <protection locked="0"/>
    </xf>
    <xf numFmtId="0" fontId="8" fillId="0" borderId="11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25" fillId="0" borderId="46" xfId="0" applyFont="1" applyBorder="1" applyAlignment="1" applyProtection="1">
      <alignment horizontal="center"/>
      <protection locked="0"/>
    </xf>
    <xf numFmtId="0" fontId="25" fillId="0" borderId="47" xfId="0" applyFont="1" applyBorder="1" applyAlignment="1" applyProtection="1">
      <alignment horizontal="center"/>
      <protection locked="0"/>
    </xf>
    <xf numFmtId="0" fontId="25" fillId="0" borderId="48" xfId="0" applyFont="1" applyBorder="1" applyAlignment="1" applyProtection="1">
      <alignment horizontal="center"/>
      <protection locked="0"/>
    </xf>
    <xf numFmtId="0" fontId="8" fillId="0" borderId="51" xfId="0" applyFont="1" applyBorder="1" applyAlignment="1" applyProtection="1">
      <alignment horizontal="left"/>
      <protection locked="0"/>
    </xf>
    <xf numFmtId="0" fontId="8" fillId="0" borderId="19" xfId="0" applyFont="1" applyBorder="1" applyAlignment="1" applyProtection="1">
      <alignment horizontal="left"/>
      <protection locked="0"/>
    </xf>
    <xf numFmtId="0" fontId="8" fillId="0" borderId="52" xfId="0" applyFont="1" applyBorder="1" applyAlignment="1" applyProtection="1">
      <alignment horizontal="left"/>
      <protection locked="0"/>
    </xf>
    <xf numFmtId="0" fontId="3" fillId="12" borderId="30" xfId="0" applyFont="1" applyFill="1" applyBorder="1" applyAlignment="1">
      <alignment horizontal="center"/>
    </xf>
    <xf numFmtId="0" fontId="3" fillId="12" borderId="31" xfId="0" applyFont="1" applyFill="1" applyBorder="1" applyAlignment="1">
      <alignment horizontal="center"/>
    </xf>
    <xf numFmtId="0" fontId="3" fillId="12" borderId="32" xfId="0" applyFont="1" applyFill="1" applyBorder="1" applyAlignment="1">
      <alignment horizontal="center"/>
    </xf>
    <xf numFmtId="0" fontId="5" fillId="0" borderId="33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169" fontId="8" fillId="0" borderId="33" xfId="1" applyNumberFormat="1" applyFont="1" applyBorder="1" applyAlignment="1" applyProtection="1">
      <alignment horizontal="center"/>
    </xf>
    <xf numFmtId="169" fontId="8" fillId="0" borderId="3" xfId="1" applyNumberFormat="1" applyFont="1" applyBorder="1" applyAlignment="1" applyProtection="1">
      <alignment horizontal="center"/>
    </xf>
    <xf numFmtId="169" fontId="8" fillId="0" borderId="51" xfId="1" applyNumberFormat="1" applyFont="1" applyBorder="1" applyAlignment="1" applyProtection="1">
      <alignment horizontal="center"/>
      <protection locked="0"/>
    </xf>
    <xf numFmtId="169" fontId="8" fillId="0" borderId="52" xfId="1" applyNumberFormat="1" applyFont="1" applyBorder="1" applyAlignment="1" applyProtection="1">
      <alignment horizontal="center"/>
      <protection locked="0"/>
    </xf>
    <xf numFmtId="0" fontId="3" fillId="0" borderId="44" xfId="0" applyFont="1" applyBorder="1" applyAlignment="1" applyProtection="1">
      <alignment vertical="center" textRotation="255" wrapText="1"/>
      <protection locked="0"/>
    </xf>
    <xf numFmtId="0" fontId="3" fillId="0" borderId="49" xfId="0" applyFont="1" applyBorder="1" applyAlignment="1" applyProtection="1">
      <alignment vertical="center" textRotation="255" wrapText="1"/>
      <protection locked="0"/>
    </xf>
    <xf numFmtId="0" fontId="3" fillId="0" borderId="50" xfId="0" applyFont="1" applyBorder="1" applyAlignment="1" applyProtection="1">
      <alignment vertical="center" textRotation="255" wrapText="1"/>
      <protection locked="0"/>
    </xf>
    <xf numFmtId="1" fontId="28" fillId="12" borderId="29" xfId="0" applyNumberFormat="1" applyFont="1" applyFill="1" applyBorder="1" applyAlignment="1">
      <alignment horizontal="center" vertical="center"/>
    </xf>
    <xf numFmtId="1" fontId="28" fillId="12" borderId="15" xfId="0" applyNumberFormat="1" applyFont="1" applyFill="1" applyBorder="1" applyAlignment="1">
      <alignment horizontal="center" vertical="center"/>
    </xf>
    <xf numFmtId="1" fontId="28" fillId="12" borderId="17" xfId="0" applyNumberFormat="1" applyFont="1" applyFill="1" applyBorder="1" applyAlignment="1">
      <alignment horizontal="center" vertical="center"/>
    </xf>
    <xf numFmtId="1" fontId="28" fillId="12" borderId="4" xfId="0" applyNumberFormat="1" applyFont="1" applyFill="1" applyBorder="1" applyAlignment="1">
      <alignment horizontal="center" vertical="center"/>
    </xf>
    <xf numFmtId="1" fontId="28" fillId="12" borderId="0" xfId="0" applyNumberFormat="1" applyFont="1" applyFill="1" applyAlignment="1">
      <alignment horizontal="center" vertical="center"/>
    </xf>
    <xf numFmtId="1" fontId="28" fillId="12" borderId="45" xfId="0" applyNumberFormat="1" applyFont="1" applyFill="1" applyBorder="1" applyAlignment="1">
      <alignment horizontal="center" vertical="center"/>
    </xf>
    <xf numFmtId="1" fontId="28" fillId="12" borderId="30" xfId="0" applyNumberFormat="1" applyFont="1" applyFill="1" applyBorder="1" applyAlignment="1">
      <alignment horizontal="center" vertical="center"/>
    </xf>
    <xf numFmtId="1" fontId="28" fillId="12" borderId="31" xfId="0" applyNumberFormat="1" applyFont="1" applyFill="1" applyBorder="1" applyAlignment="1">
      <alignment horizontal="center" vertical="center"/>
    </xf>
    <xf numFmtId="1" fontId="28" fillId="12" borderId="38" xfId="0" applyNumberFormat="1" applyFont="1" applyFill="1" applyBorder="1" applyAlignment="1">
      <alignment horizontal="center" vertical="center"/>
    </xf>
    <xf numFmtId="172" fontId="7" fillId="0" borderId="33" xfId="2" applyNumberFormat="1" applyFont="1" applyBorder="1" applyAlignment="1" applyProtection="1">
      <alignment horizontal="center"/>
    </xf>
    <xf numFmtId="172" fontId="7" fillId="0" borderId="3" xfId="2" applyNumberFormat="1" applyFont="1" applyBorder="1" applyAlignment="1" applyProtection="1">
      <alignment horizontal="center"/>
    </xf>
    <xf numFmtId="0" fontId="3" fillId="16" borderId="33" xfId="0" applyFont="1" applyFill="1" applyBorder="1" applyAlignment="1" applyProtection="1">
      <alignment horizontal="center"/>
      <protection locked="0"/>
    </xf>
    <xf numFmtId="0" fontId="3" fillId="16" borderId="11" xfId="0" applyFont="1" applyFill="1" applyBorder="1" applyAlignment="1" applyProtection="1">
      <alignment horizontal="center"/>
      <protection locked="0"/>
    </xf>
    <xf numFmtId="0" fontId="3" fillId="16" borderId="3" xfId="0" applyFont="1" applyFill="1" applyBorder="1" applyAlignment="1" applyProtection="1">
      <alignment horizontal="center"/>
      <protection locked="0"/>
    </xf>
    <xf numFmtId="165" fontId="3" fillId="12" borderId="33" xfId="0" applyNumberFormat="1" applyFont="1" applyFill="1" applyBorder="1" applyAlignment="1" applyProtection="1">
      <alignment horizontal="center"/>
      <protection locked="0"/>
    </xf>
    <xf numFmtId="0" fontId="20" fillId="12" borderId="13" xfId="0" applyFont="1" applyFill="1" applyBorder="1" applyAlignment="1" applyProtection="1">
      <alignment horizontal="left" vertical="center"/>
      <protection locked="0"/>
    </xf>
    <xf numFmtId="0" fontId="20" fillId="12" borderId="11" xfId="0" applyFont="1" applyFill="1" applyBorder="1" applyAlignment="1" applyProtection="1">
      <alignment horizontal="left" vertical="center"/>
      <protection locked="0"/>
    </xf>
    <xf numFmtId="0" fontId="20" fillId="12" borderId="3" xfId="0" applyFont="1" applyFill="1" applyBorder="1" applyAlignment="1" applyProtection="1">
      <alignment horizontal="left" vertical="center"/>
      <protection locked="0"/>
    </xf>
    <xf numFmtId="171" fontId="20" fillId="12" borderId="33" xfId="0" applyNumberFormat="1" applyFont="1" applyFill="1" applyBorder="1" applyAlignment="1" applyProtection="1">
      <alignment vertical="center"/>
      <protection locked="0"/>
    </xf>
    <xf numFmtId="0" fontId="27" fillId="12" borderId="33" xfId="0" applyFont="1" applyFill="1" applyBorder="1" applyAlignment="1" applyProtection="1">
      <alignment horizontal="center"/>
      <protection locked="0"/>
    </xf>
    <xf numFmtId="0" fontId="27" fillId="12" borderId="3" xfId="0" applyFont="1" applyFill="1" applyBorder="1" applyAlignment="1" applyProtection="1">
      <alignment horizontal="center"/>
      <protection locked="0"/>
    </xf>
    <xf numFmtId="0" fontId="12" fillId="8" borderId="1" xfId="0" applyFont="1" applyFill="1" applyBorder="1" applyAlignment="1" applyProtection="1">
      <alignment horizontal="center" vertical="center"/>
      <protection locked="0"/>
    </xf>
    <xf numFmtId="165" fontId="29" fillId="0" borderId="0" xfId="0" applyNumberFormat="1" applyFont="1"/>
    <xf numFmtId="0" fontId="12" fillId="8" borderId="11" xfId="0" applyFont="1" applyFill="1" applyBorder="1" applyAlignment="1" applyProtection="1">
      <alignment vertical="center"/>
      <protection locked="0"/>
    </xf>
    <xf numFmtId="172" fontId="12" fillId="8" borderId="3" xfId="2" applyNumberFormat="1" applyFont="1" applyFill="1" applyBorder="1" applyAlignment="1" applyProtection="1">
      <alignment vertical="center"/>
    </xf>
    <xf numFmtId="0" fontId="11" fillId="14" borderId="13" xfId="0" applyFont="1" applyFill="1" applyBorder="1" applyAlignment="1" applyProtection="1">
      <alignment horizontal="left" vertical="center"/>
      <protection locked="0"/>
    </xf>
    <xf numFmtId="0" fontId="11" fillId="14" borderId="11" xfId="0" applyFont="1" applyFill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  <xf numFmtId="171" fontId="11" fillId="14" borderId="10" xfId="1" applyNumberFormat="1" applyFont="1" applyFill="1" applyBorder="1" applyAlignment="1" applyProtection="1">
      <alignment horizontal="right" vertical="center" indent="1"/>
    </xf>
    <xf numFmtId="171" fontId="26" fillId="22" borderId="1" xfId="1" applyNumberFormat="1" applyFont="1" applyFill="1" applyBorder="1" applyAlignment="1" applyProtection="1">
      <alignment vertical="center"/>
      <protection locked="0"/>
    </xf>
  </cellXfs>
  <cellStyles count="7">
    <cellStyle name="Millares" xfId="1" builtinId="3"/>
    <cellStyle name="Millares 2" xfId="5" xr:uid="{59170012-DFDF-4A3F-AC50-D938F8FF196C}"/>
    <cellStyle name="Moneda" xfId="2" builtinId="4"/>
    <cellStyle name="Moneda [0]" xfId="3" builtinId="7"/>
    <cellStyle name="Moneda 2" xfId="6" xr:uid="{94477E80-9D70-4774-A3BC-C1E0AFAEF51E}"/>
    <cellStyle name="Normal" xfId="0" builtinId="0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4"/>
  <sheetViews>
    <sheetView topLeftCell="D1" zoomScale="140" zoomScaleNormal="140" workbookViewId="0">
      <selection activeCell="N30" sqref="N30"/>
    </sheetView>
  </sheetViews>
  <sheetFormatPr baseColWidth="10" defaultColWidth="11.42578125" defaultRowHeight="15" x14ac:dyDescent="0.25"/>
  <cols>
    <col min="1" max="1" width="8.42578125" style="20" customWidth="1"/>
    <col min="2" max="2" width="7.85546875" style="20" customWidth="1"/>
    <col min="3" max="3" width="12.28515625" style="20" customWidth="1"/>
    <col min="4" max="4" width="4.7109375" style="20" customWidth="1"/>
    <col min="5" max="7" width="9" style="20" customWidth="1"/>
    <col min="8" max="8" width="9.7109375" style="20" customWidth="1"/>
    <col min="9" max="9" width="12.42578125" style="20" customWidth="1"/>
    <col min="10" max="10" width="15.140625" style="20" customWidth="1"/>
    <col min="11" max="11" width="21.42578125" style="20" customWidth="1"/>
    <col min="12" max="16384" width="11.42578125" style="20"/>
  </cols>
  <sheetData>
    <row r="1" spans="1:11" ht="27" thickBot="1" x14ac:dyDescent="0.3">
      <c r="A1" s="297" t="s">
        <v>57</v>
      </c>
      <c r="B1" s="298"/>
      <c r="C1" s="298"/>
      <c r="D1" s="298"/>
      <c r="E1" s="298"/>
      <c r="F1" s="298"/>
      <c r="G1" s="298"/>
      <c r="H1" s="298"/>
      <c r="I1" s="298"/>
      <c r="J1" s="298"/>
      <c r="K1" s="299"/>
    </row>
    <row r="2" spans="1:11" ht="15.75" thickBot="1" x14ac:dyDescent="0.3">
      <c r="A2" s="300" t="s">
        <v>58</v>
      </c>
      <c r="B2" s="301"/>
      <c r="C2" s="301"/>
      <c r="D2" s="301"/>
      <c r="E2" s="301"/>
      <c r="F2" s="301"/>
      <c r="G2" s="301"/>
      <c r="H2" s="301"/>
      <c r="I2" s="301"/>
      <c r="J2" s="301"/>
      <c r="K2" s="302"/>
    </row>
    <row r="3" spans="1:11" ht="15.75" thickBot="1" x14ac:dyDescent="0.3">
      <c r="A3" s="303" t="s">
        <v>59</v>
      </c>
      <c r="B3" s="304"/>
      <c r="C3" s="305"/>
      <c r="D3" s="306" t="s">
        <v>60</v>
      </c>
      <c r="E3" s="307"/>
      <c r="F3" s="307"/>
      <c r="G3" s="307"/>
      <c r="H3" s="307"/>
      <c r="I3" s="307"/>
      <c r="J3" s="307"/>
      <c r="K3" s="308"/>
    </row>
    <row r="4" spans="1:11" ht="25.5" customHeight="1" thickBot="1" x14ac:dyDescent="0.3">
      <c r="A4" s="21" t="s">
        <v>61</v>
      </c>
      <c r="B4" s="309"/>
      <c r="C4" s="310"/>
      <c r="D4" s="311"/>
      <c r="E4" s="22" t="s">
        <v>62</v>
      </c>
      <c r="F4" s="309"/>
      <c r="G4" s="310"/>
      <c r="H4" s="310"/>
      <c r="I4" s="311"/>
      <c r="J4" s="23" t="s">
        <v>63</v>
      </c>
      <c r="K4" s="23"/>
    </row>
    <row r="5" spans="1:11" ht="16.5" thickBot="1" x14ac:dyDescent="0.3">
      <c r="A5" s="21" t="s">
        <v>64</v>
      </c>
      <c r="B5" s="288"/>
      <c r="C5" s="289"/>
      <c r="D5" s="290"/>
      <c r="E5" s="24" t="s">
        <v>65</v>
      </c>
      <c r="F5" s="291">
        <f ca="1">+NOW()</f>
        <v>46164.526757754633</v>
      </c>
      <c r="G5" s="292"/>
      <c r="H5" s="289"/>
      <c r="I5" s="290"/>
      <c r="J5" s="25" t="s">
        <v>66</v>
      </c>
      <c r="K5" s="26">
        <v>30</v>
      </c>
    </row>
    <row r="6" spans="1:11" ht="15.75" thickBot="1" x14ac:dyDescent="0.3">
      <c r="A6" s="293" t="s">
        <v>67</v>
      </c>
      <c r="B6" s="294"/>
      <c r="C6" s="294"/>
      <c r="D6" s="294"/>
      <c r="E6" s="294"/>
      <c r="F6" s="294"/>
      <c r="G6" s="294"/>
      <c r="H6" s="294"/>
      <c r="I6" s="294"/>
      <c r="J6" s="294"/>
      <c r="K6" s="295"/>
    </row>
    <row r="7" spans="1:11" ht="51" x14ac:dyDescent="0.25">
      <c r="A7" s="27" t="s">
        <v>84</v>
      </c>
      <c r="B7" s="296" t="s">
        <v>68</v>
      </c>
      <c r="C7" s="296"/>
      <c r="D7" s="296"/>
      <c r="E7" s="41" t="s">
        <v>69</v>
      </c>
      <c r="F7" s="41" t="s">
        <v>70</v>
      </c>
      <c r="G7" s="41" t="s">
        <v>107</v>
      </c>
      <c r="H7" s="41" t="s">
        <v>71</v>
      </c>
      <c r="I7" s="60" t="s">
        <v>72</v>
      </c>
      <c r="J7" s="41" t="s">
        <v>73</v>
      </c>
      <c r="K7" s="28" t="s">
        <v>74</v>
      </c>
    </row>
    <row r="8" spans="1:11" ht="15.75" customHeight="1" x14ac:dyDescent="0.25">
      <c r="A8" s="29">
        <v>1</v>
      </c>
      <c r="B8" s="281" t="s">
        <v>75</v>
      </c>
      <c r="C8" s="281"/>
      <c r="D8" s="281"/>
      <c r="E8" s="30">
        <v>200</v>
      </c>
      <c r="F8" s="30" t="s">
        <v>76</v>
      </c>
      <c r="G8" s="30" t="s">
        <v>108</v>
      </c>
      <c r="H8" s="31">
        <f>+E8*$K$5</f>
        <v>6000</v>
      </c>
      <c r="I8" s="58">
        <v>18000</v>
      </c>
      <c r="J8" s="32">
        <f>+IF(G8="Kilo",I8/1000*E8,IF(G8="Libra",I8/500*E8,IF(G8="Litro",I8/1000*E8,IF(G8="Galón",I8/3800*E8,IF(G8="Onza",I8/30*E8," ")))))</f>
        <v>3600</v>
      </c>
      <c r="K8" s="33">
        <f>IF(ISERROR($K$5*J8)," ",$K$5*J8)</f>
        <v>108000</v>
      </c>
    </row>
    <row r="9" spans="1:11" ht="15.75" customHeight="1" x14ac:dyDescent="0.25">
      <c r="A9" s="29">
        <v>2</v>
      </c>
      <c r="B9" s="281" t="s">
        <v>77</v>
      </c>
      <c r="C9" s="281"/>
      <c r="D9" s="281"/>
      <c r="E9" s="30">
        <v>2</v>
      </c>
      <c r="F9" s="30" t="s">
        <v>76</v>
      </c>
      <c r="G9" s="30" t="s">
        <v>109</v>
      </c>
      <c r="H9" s="31">
        <f>+E9*$K$5</f>
        <v>60</v>
      </c>
      <c r="I9" s="58">
        <v>900</v>
      </c>
      <c r="J9" s="32">
        <f t="shared" ref="J9:J19" si="0">+IF(G9="Kilo",I9/1000*E9,IF(G9="Libra",I9/500*E9,IF(G9="Litro",I9/1000*E9,IF(G9="Galón",I9/3800*E9,IF(G9="Onza",I9/30*E9," ")))))</f>
        <v>3.6</v>
      </c>
      <c r="K9" s="33">
        <f t="shared" ref="K9:K19" si="1">IF(ISERROR($K$5*J9)," ",$K$5*J9)</f>
        <v>108</v>
      </c>
    </row>
    <row r="10" spans="1:11" x14ac:dyDescent="0.25">
      <c r="A10" s="29">
        <v>3</v>
      </c>
      <c r="B10" s="281" t="s">
        <v>78</v>
      </c>
      <c r="C10" s="281"/>
      <c r="D10" s="281"/>
      <c r="E10" s="30">
        <v>100</v>
      </c>
      <c r="F10" s="30" t="s">
        <v>76</v>
      </c>
      <c r="G10" s="30" t="s">
        <v>109</v>
      </c>
      <c r="H10" s="31">
        <f>+E10*$K$5</f>
        <v>3000</v>
      </c>
      <c r="I10" s="58">
        <v>2500</v>
      </c>
      <c r="J10" s="32">
        <f t="shared" si="0"/>
        <v>500</v>
      </c>
      <c r="K10" s="33">
        <f t="shared" si="1"/>
        <v>15000</v>
      </c>
    </row>
    <row r="11" spans="1:11" x14ac:dyDescent="0.25">
      <c r="A11" s="29">
        <v>4</v>
      </c>
      <c r="B11" s="281" t="s">
        <v>79</v>
      </c>
      <c r="C11" s="281"/>
      <c r="D11" s="281"/>
      <c r="E11" s="30">
        <v>2</v>
      </c>
      <c r="F11" s="30" t="s">
        <v>80</v>
      </c>
      <c r="G11" s="30" t="s">
        <v>110</v>
      </c>
      <c r="H11" s="31">
        <f>+E11*$K$5</f>
        <v>60</v>
      </c>
      <c r="I11" s="58">
        <v>8500</v>
      </c>
      <c r="J11" s="32">
        <f t="shared" si="0"/>
        <v>17</v>
      </c>
      <c r="K11" s="33">
        <f t="shared" si="1"/>
        <v>510</v>
      </c>
    </row>
    <row r="12" spans="1:11" ht="15.75" customHeight="1" x14ac:dyDescent="0.25">
      <c r="A12" s="29">
        <v>5</v>
      </c>
      <c r="B12" s="281" t="s">
        <v>81</v>
      </c>
      <c r="C12" s="281"/>
      <c r="D12" s="281"/>
      <c r="E12" s="30">
        <v>2</v>
      </c>
      <c r="F12" s="30" t="s">
        <v>76</v>
      </c>
      <c r="G12" s="30" t="s">
        <v>109</v>
      </c>
      <c r="H12" s="31">
        <v>1</v>
      </c>
      <c r="I12" s="58">
        <v>4300</v>
      </c>
      <c r="J12" s="32">
        <f t="shared" si="0"/>
        <v>17.2</v>
      </c>
      <c r="K12" s="33">
        <f t="shared" si="1"/>
        <v>516</v>
      </c>
    </row>
    <row r="13" spans="1:11" ht="15" customHeight="1" x14ac:dyDescent="0.25">
      <c r="A13" s="29">
        <v>6</v>
      </c>
      <c r="B13" s="281" t="s">
        <v>82</v>
      </c>
      <c r="C13" s="281"/>
      <c r="D13" s="281"/>
      <c r="E13" s="30">
        <v>25</v>
      </c>
      <c r="F13" s="30" t="s">
        <v>76</v>
      </c>
      <c r="G13" s="30" t="s">
        <v>109</v>
      </c>
      <c r="H13" s="31">
        <v>25</v>
      </c>
      <c r="I13" s="58">
        <v>900</v>
      </c>
      <c r="J13" s="32">
        <f t="shared" si="0"/>
        <v>45</v>
      </c>
      <c r="K13" s="33">
        <f t="shared" si="1"/>
        <v>1350</v>
      </c>
    </row>
    <row r="14" spans="1:11" ht="15" customHeight="1" x14ac:dyDescent="0.25">
      <c r="A14" s="29"/>
      <c r="B14" s="281"/>
      <c r="C14" s="281"/>
      <c r="D14" s="281"/>
      <c r="E14" s="30"/>
      <c r="F14" s="30"/>
      <c r="G14" s="30"/>
      <c r="H14" s="31"/>
      <c r="I14" s="58"/>
      <c r="J14" s="32" t="str">
        <f t="shared" si="0"/>
        <v xml:space="preserve"> </v>
      </c>
      <c r="K14" s="33" t="str">
        <f t="shared" si="1"/>
        <v xml:space="preserve"> </v>
      </c>
    </row>
    <row r="15" spans="1:11" ht="15" customHeight="1" x14ac:dyDescent="0.25">
      <c r="A15" s="29"/>
      <c r="B15" s="281"/>
      <c r="C15" s="281"/>
      <c r="D15" s="281"/>
      <c r="E15" s="30"/>
      <c r="F15" s="30"/>
      <c r="G15" s="30"/>
      <c r="H15" s="31"/>
      <c r="I15" s="58"/>
      <c r="J15" s="32" t="str">
        <f t="shared" si="0"/>
        <v xml:space="preserve"> </v>
      </c>
      <c r="K15" s="33" t="str">
        <f t="shared" si="1"/>
        <v xml:space="preserve"> </v>
      </c>
    </row>
    <row r="16" spans="1:11" ht="15" customHeight="1" x14ac:dyDescent="0.25">
      <c r="A16" s="29"/>
      <c r="B16" s="281"/>
      <c r="C16" s="281"/>
      <c r="D16" s="281"/>
      <c r="E16" s="30"/>
      <c r="F16" s="30"/>
      <c r="G16" s="30"/>
      <c r="H16" s="31"/>
      <c r="I16" s="58"/>
      <c r="J16" s="32" t="str">
        <f t="shared" si="0"/>
        <v xml:space="preserve"> </v>
      </c>
      <c r="K16" s="33" t="str">
        <f t="shared" si="1"/>
        <v xml:space="preserve"> </v>
      </c>
    </row>
    <row r="17" spans="1:11" x14ac:dyDescent="0.25">
      <c r="A17" s="29"/>
      <c r="B17" s="281"/>
      <c r="C17" s="281"/>
      <c r="D17" s="281"/>
      <c r="E17" s="30"/>
      <c r="F17" s="30"/>
      <c r="G17" s="30"/>
      <c r="H17" s="31"/>
      <c r="I17" s="58"/>
      <c r="J17" s="32" t="str">
        <f t="shared" si="0"/>
        <v xml:space="preserve"> </v>
      </c>
      <c r="K17" s="33" t="str">
        <f t="shared" si="1"/>
        <v xml:space="preserve"> </v>
      </c>
    </row>
    <row r="18" spans="1:11" x14ac:dyDescent="0.25">
      <c r="A18" s="29"/>
      <c r="B18" s="281"/>
      <c r="C18" s="281"/>
      <c r="D18" s="281"/>
      <c r="E18" s="30"/>
      <c r="F18" s="30"/>
      <c r="G18" s="30"/>
      <c r="H18" s="34"/>
      <c r="I18" s="58"/>
      <c r="J18" s="32" t="str">
        <f t="shared" si="0"/>
        <v xml:space="preserve"> </v>
      </c>
      <c r="K18" s="33" t="str">
        <f t="shared" si="1"/>
        <v xml:space="preserve"> </v>
      </c>
    </row>
    <row r="19" spans="1:11" x14ac:dyDescent="0.25">
      <c r="A19" s="35"/>
      <c r="B19" s="281"/>
      <c r="C19" s="281"/>
      <c r="D19" s="281"/>
      <c r="E19" s="30"/>
      <c r="F19" s="30"/>
      <c r="G19" s="30"/>
      <c r="H19" s="34">
        <f>+E19*$K$5/1000</f>
        <v>0</v>
      </c>
      <c r="I19" s="59"/>
      <c r="J19" s="32" t="str">
        <f t="shared" si="0"/>
        <v xml:space="preserve"> </v>
      </c>
      <c r="K19" s="33" t="str">
        <f t="shared" si="1"/>
        <v xml:space="preserve"> </v>
      </c>
    </row>
    <row r="20" spans="1:11" ht="16.5" thickBot="1" x14ac:dyDescent="0.3">
      <c r="A20" s="282" t="s">
        <v>83</v>
      </c>
      <c r="B20" s="283"/>
      <c r="C20" s="283"/>
      <c r="D20" s="283"/>
      <c r="E20" s="283"/>
      <c r="F20" s="283"/>
      <c r="G20" s="283"/>
      <c r="H20" s="283"/>
      <c r="I20" s="283"/>
      <c r="J20" s="284"/>
      <c r="K20" s="36">
        <f>SUM(K8:K19)</f>
        <v>125484</v>
      </c>
    </row>
    <row r="21" spans="1:11" x14ac:dyDescent="0.25">
      <c r="A21" s="285" t="s">
        <v>85</v>
      </c>
      <c r="B21" s="286"/>
      <c r="C21" s="286"/>
      <c r="D21" s="286"/>
      <c r="E21" s="286"/>
      <c r="F21" s="286"/>
      <c r="G21" s="286"/>
      <c r="H21" s="286"/>
      <c r="I21" s="286"/>
      <c r="J21" s="286"/>
      <c r="K21" s="287"/>
    </row>
    <row r="22" spans="1:11" ht="26.25" customHeight="1" x14ac:dyDescent="0.25">
      <c r="A22" s="37">
        <v>7</v>
      </c>
      <c r="B22" s="280" t="s">
        <v>86</v>
      </c>
      <c r="C22" s="280"/>
      <c r="D22" s="280"/>
      <c r="E22" s="280"/>
      <c r="F22" s="30" t="s">
        <v>76</v>
      </c>
      <c r="G22" s="30" t="s">
        <v>108</v>
      </c>
      <c r="H22" s="42">
        <v>76</v>
      </c>
      <c r="I22" s="44">
        <v>1800</v>
      </c>
      <c r="J22" s="32">
        <f t="shared" ref="J22:J24" si="2">+IF(G22="Kilo",I22/1000*H22,IF(G22="Libra",I22/500*H22,IF(G22="Litro",I22/1000*H22,IF(G22="Galón",I22/3800*H22,IF(G22="Onza",I22/30*H22," ")))))</f>
        <v>136.80000000000001</v>
      </c>
      <c r="K22" s="33">
        <f t="shared" ref="K22:K24" si="3">IF(ISERROR($K$5*J22)," ",$K$5*J22)</f>
        <v>4104</v>
      </c>
    </row>
    <row r="23" spans="1:11" x14ac:dyDescent="0.25">
      <c r="A23" s="37">
        <v>8</v>
      </c>
      <c r="B23" s="280" t="s">
        <v>117</v>
      </c>
      <c r="C23" s="280"/>
      <c r="D23" s="280"/>
      <c r="E23" s="280"/>
      <c r="F23" s="30" t="s">
        <v>76</v>
      </c>
      <c r="G23" s="30" t="s">
        <v>109</v>
      </c>
      <c r="H23" s="42">
        <v>4</v>
      </c>
      <c r="I23" s="38">
        <v>900</v>
      </c>
      <c r="J23" s="32">
        <f t="shared" si="2"/>
        <v>7.2</v>
      </c>
      <c r="K23" s="33">
        <f t="shared" si="3"/>
        <v>216</v>
      </c>
    </row>
    <row r="24" spans="1:11" x14ac:dyDescent="0.25">
      <c r="A24" s="37"/>
      <c r="B24" s="280" t="s">
        <v>79</v>
      </c>
      <c r="C24" s="280"/>
      <c r="D24" s="280"/>
      <c r="E24" s="280"/>
      <c r="F24" s="30" t="s">
        <v>121</v>
      </c>
      <c r="G24" s="30" t="s">
        <v>110</v>
      </c>
      <c r="H24" s="42">
        <v>2</v>
      </c>
      <c r="I24" s="38">
        <v>8500</v>
      </c>
      <c r="J24" s="32">
        <f t="shared" si="2"/>
        <v>17</v>
      </c>
      <c r="K24" s="33">
        <f t="shared" si="3"/>
        <v>510</v>
      </c>
    </row>
    <row r="25" spans="1:11" ht="15.75" x14ac:dyDescent="0.25">
      <c r="A25" s="275" t="s">
        <v>87</v>
      </c>
      <c r="B25" s="276"/>
      <c r="C25" s="276"/>
      <c r="D25" s="276"/>
      <c r="E25" s="276"/>
      <c r="F25" s="276"/>
      <c r="G25" s="276"/>
      <c r="H25" s="276"/>
      <c r="I25" s="276"/>
      <c r="J25" s="276"/>
      <c r="K25" s="43">
        <f>SUM(K22:K24)</f>
        <v>4830</v>
      </c>
    </row>
    <row r="26" spans="1:11" ht="15.75" x14ac:dyDescent="0.25">
      <c r="A26" s="277" t="s">
        <v>88</v>
      </c>
      <c r="B26" s="278"/>
      <c r="C26" s="278"/>
      <c r="D26" s="278"/>
      <c r="E26" s="278"/>
      <c r="F26" s="278"/>
      <c r="G26" s="278"/>
      <c r="H26" s="278"/>
      <c r="I26" s="278"/>
      <c r="J26" s="278"/>
      <c r="K26" s="279"/>
    </row>
    <row r="27" spans="1:11" x14ac:dyDescent="0.25">
      <c r="A27" s="254"/>
      <c r="B27" s="255"/>
      <c r="C27" s="255"/>
      <c r="D27" s="255"/>
      <c r="E27" s="255"/>
      <c r="F27" s="255"/>
      <c r="G27" s="255"/>
      <c r="H27" s="255"/>
      <c r="I27" s="255"/>
      <c r="J27" s="255"/>
      <c r="K27" s="256"/>
    </row>
    <row r="28" spans="1:11" ht="45" customHeight="1" x14ac:dyDescent="0.25">
      <c r="A28" s="257"/>
      <c r="B28" s="258"/>
      <c r="C28" s="258"/>
      <c r="D28" s="258"/>
      <c r="E28" s="258"/>
      <c r="F28" s="258"/>
      <c r="G28" s="258"/>
      <c r="H28" s="258"/>
      <c r="I28" s="258"/>
      <c r="J28" s="258"/>
      <c r="K28" s="259"/>
    </row>
    <row r="29" spans="1:11" x14ac:dyDescent="0.25">
      <c r="A29" s="246" t="s">
        <v>89</v>
      </c>
      <c r="B29" s="247"/>
      <c r="C29" s="247"/>
      <c r="D29" s="247"/>
      <c r="E29" s="247"/>
      <c r="F29" s="247"/>
      <c r="G29" s="268"/>
      <c r="H29" s="263" t="s">
        <v>90</v>
      </c>
      <c r="I29" s="263"/>
      <c r="J29" s="263"/>
      <c r="K29" s="264"/>
    </row>
    <row r="30" spans="1:11" ht="40.5" customHeight="1" x14ac:dyDescent="0.25">
      <c r="A30" s="265"/>
      <c r="B30" s="266"/>
      <c r="C30" s="266"/>
      <c r="D30" s="266"/>
      <c r="E30" s="266"/>
      <c r="F30" s="266"/>
      <c r="G30" s="267"/>
      <c r="H30" s="261"/>
      <c r="I30" s="261"/>
      <c r="J30" s="261"/>
      <c r="K30" s="262"/>
    </row>
    <row r="31" spans="1:11" x14ac:dyDescent="0.25">
      <c r="A31" s="246" t="s">
        <v>91</v>
      </c>
      <c r="B31" s="247"/>
      <c r="C31" s="247"/>
      <c r="D31" s="247"/>
      <c r="E31" s="247"/>
      <c r="F31" s="247"/>
      <c r="G31" s="268"/>
      <c r="H31" s="263" t="s">
        <v>92</v>
      </c>
      <c r="I31" s="263"/>
      <c r="J31" s="263"/>
      <c r="K31" s="264"/>
    </row>
    <row r="32" spans="1:11" ht="36.75" customHeight="1" x14ac:dyDescent="0.25">
      <c r="A32" s="272"/>
      <c r="B32" s="273"/>
      <c r="C32" s="273"/>
      <c r="D32" s="273"/>
      <c r="E32" s="273"/>
      <c r="F32" s="273"/>
      <c r="G32" s="274"/>
      <c r="H32" s="269"/>
      <c r="I32" s="270"/>
      <c r="J32" s="270"/>
      <c r="K32" s="271"/>
    </row>
    <row r="33" spans="1:11" ht="19.5" customHeight="1" x14ac:dyDescent="0.25">
      <c r="A33" s="246" t="s">
        <v>93</v>
      </c>
      <c r="B33" s="247"/>
      <c r="C33" s="247"/>
      <c r="D33" s="247"/>
      <c r="E33" s="247"/>
      <c r="F33" s="247"/>
      <c r="G33" s="247"/>
      <c r="H33" s="247"/>
      <c r="I33" s="247"/>
      <c r="J33" s="247"/>
      <c r="K33" s="248"/>
    </row>
    <row r="34" spans="1:11" x14ac:dyDescent="0.25">
      <c r="A34" s="254"/>
      <c r="B34" s="255"/>
      <c r="C34" s="255"/>
      <c r="D34" s="255"/>
      <c r="E34" s="255"/>
      <c r="F34" s="255"/>
      <c r="G34" s="255"/>
      <c r="H34" s="255"/>
      <c r="I34" s="255"/>
      <c r="J34" s="255"/>
      <c r="K34" s="256"/>
    </row>
    <row r="35" spans="1:11" ht="27" customHeight="1" x14ac:dyDescent="0.25">
      <c r="A35" s="257"/>
      <c r="B35" s="258"/>
      <c r="C35" s="258"/>
      <c r="D35" s="258"/>
      <c r="E35" s="258"/>
      <c r="F35" s="258"/>
      <c r="G35" s="258"/>
      <c r="H35" s="258"/>
      <c r="I35" s="258"/>
      <c r="J35" s="258"/>
      <c r="K35" s="259"/>
    </row>
    <row r="36" spans="1:11" ht="15.75" x14ac:dyDescent="0.25">
      <c r="A36" s="249" t="s">
        <v>94</v>
      </c>
      <c r="B36" s="250"/>
      <c r="C36" s="250"/>
      <c r="D36" s="250"/>
      <c r="E36" s="250"/>
      <c r="F36" s="250"/>
      <c r="G36" s="250"/>
      <c r="H36" s="250"/>
      <c r="I36" s="250"/>
      <c r="J36" s="250"/>
      <c r="K36" s="251"/>
    </row>
    <row r="37" spans="1:11" x14ac:dyDescent="0.25">
      <c r="A37" s="252" t="s">
        <v>95</v>
      </c>
      <c r="B37" s="253"/>
      <c r="C37" s="253"/>
      <c r="D37" s="253"/>
      <c r="E37" s="253"/>
      <c r="F37" s="253"/>
      <c r="G37" s="253"/>
      <c r="H37" s="253"/>
      <c r="I37" s="253"/>
      <c r="J37" s="253"/>
      <c r="K37" s="55">
        <f>+K20+K25</f>
        <v>130314</v>
      </c>
    </row>
    <row r="38" spans="1:11" x14ac:dyDescent="0.25">
      <c r="A38" s="260" t="s">
        <v>96</v>
      </c>
      <c r="B38" s="215"/>
      <c r="C38" s="215"/>
      <c r="D38" s="215"/>
      <c r="E38" s="215"/>
      <c r="F38" s="215"/>
      <c r="G38" s="215"/>
      <c r="H38" s="215"/>
      <c r="I38" s="215"/>
      <c r="J38" s="39">
        <v>0.03</v>
      </c>
      <c r="K38" s="45">
        <f>+K37*J38</f>
        <v>3909.42</v>
      </c>
    </row>
    <row r="39" spans="1:11" x14ac:dyDescent="0.25">
      <c r="A39" s="229" t="s">
        <v>119</v>
      </c>
      <c r="B39" s="230"/>
      <c r="C39" s="230"/>
      <c r="D39" s="230"/>
      <c r="E39" s="230"/>
      <c r="F39" s="230"/>
      <c r="G39" s="230"/>
      <c r="H39" s="230"/>
      <c r="I39" s="230"/>
      <c r="J39" s="230"/>
      <c r="K39" s="49">
        <f>+K37+K38</f>
        <v>134223.42000000001</v>
      </c>
    </row>
    <row r="40" spans="1:11" x14ac:dyDescent="0.25">
      <c r="A40" s="243" t="s">
        <v>111</v>
      </c>
      <c r="B40" s="244"/>
      <c r="C40" s="244"/>
      <c r="D40" s="244"/>
      <c r="E40" s="244"/>
      <c r="F40" s="244"/>
      <c r="G40" s="245"/>
      <c r="H40" s="242" t="s">
        <v>114</v>
      </c>
      <c r="I40" s="242"/>
      <c r="J40" s="52">
        <v>1200</v>
      </c>
      <c r="K40" s="46">
        <f>+J40*K5</f>
        <v>36000</v>
      </c>
    </row>
    <row r="41" spans="1:11" x14ac:dyDescent="0.25">
      <c r="A41" s="50" t="s">
        <v>112</v>
      </c>
      <c r="B41" s="51"/>
      <c r="C41" s="51"/>
      <c r="D41" s="51"/>
      <c r="E41" s="51"/>
      <c r="F41" s="51"/>
      <c r="G41" s="51"/>
      <c r="H41" s="242" t="s">
        <v>115</v>
      </c>
      <c r="I41" s="242"/>
      <c r="J41" s="53">
        <f>+J40*1/3</f>
        <v>400</v>
      </c>
      <c r="K41" s="46">
        <f>+K40*1/3</f>
        <v>12000</v>
      </c>
    </row>
    <row r="42" spans="1:11" x14ac:dyDescent="0.25">
      <c r="A42" s="236" t="s">
        <v>113</v>
      </c>
      <c r="B42" s="237"/>
      <c r="C42" s="237"/>
      <c r="D42" s="237"/>
      <c r="E42" s="237"/>
      <c r="F42" s="237"/>
      <c r="G42" s="237"/>
      <c r="H42" s="237"/>
      <c r="I42" s="237"/>
      <c r="J42" s="238"/>
      <c r="K42" s="48">
        <f>+SUM(K39:K41)</f>
        <v>182223.42</v>
      </c>
    </row>
    <row r="43" spans="1:11" x14ac:dyDescent="0.25">
      <c r="A43" s="236" t="s">
        <v>120</v>
      </c>
      <c r="B43" s="237"/>
      <c r="C43" s="237"/>
      <c r="D43" s="237"/>
      <c r="E43" s="237"/>
      <c r="F43" s="237"/>
      <c r="G43" s="237"/>
      <c r="H43" s="237"/>
      <c r="I43" s="237"/>
      <c r="J43" s="238"/>
      <c r="K43" s="48">
        <f>+K42/K5</f>
        <v>6074.1140000000005</v>
      </c>
    </row>
    <row r="44" spans="1:11" x14ac:dyDescent="0.25">
      <c r="A44" s="239" t="s">
        <v>116</v>
      </c>
      <c r="B44" s="240"/>
      <c r="C44" s="240"/>
      <c r="D44" s="240"/>
      <c r="E44" s="240"/>
      <c r="F44" s="240"/>
      <c r="G44" s="240"/>
      <c r="H44" s="240"/>
      <c r="I44" s="240"/>
      <c r="J44" s="241"/>
      <c r="K44" s="47">
        <v>0.5</v>
      </c>
    </row>
    <row r="45" spans="1:11" x14ac:dyDescent="0.25">
      <c r="A45" s="231" t="s">
        <v>97</v>
      </c>
      <c r="B45" s="232"/>
      <c r="C45" s="232"/>
      <c r="D45" s="232"/>
      <c r="E45" s="232"/>
      <c r="F45" s="232"/>
      <c r="G45" s="232"/>
      <c r="H45" s="232"/>
      <c r="I45" s="232"/>
      <c r="J45" s="232"/>
      <c r="K45" s="48">
        <f>K43/(1-K44)</f>
        <v>12148.228000000001</v>
      </c>
    </row>
    <row r="46" spans="1:11" x14ac:dyDescent="0.25">
      <c r="A46" s="233" t="s">
        <v>98</v>
      </c>
      <c r="B46" s="234"/>
      <c r="C46" s="234"/>
      <c r="D46" s="234"/>
      <c r="E46" s="234"/>
      <c r="F46" s="234"/>
      <c r="G46" s="234"/>
      <c r="H46" s="234"/>
      <c r="I46" s="235"/>
      <c r="J46" s="40">
        <v>0.16</v>
      </c>
      <c r="K46" s="45">
        <f>+K45*J46</f>
        <v>1943.7164800000003</v>
      </c>
    </row>
    <row r="47" spans="1:11" x14ac:dyDescent="0.25">
      <c r="A47" s="209" t="s">
        <v>99</v>
      </c>
      <c r="B47" s="210"/>
      <c r="C47" s="210"/>
      <c r="D47" s="210"/>
      <c r="E47" s="210"/>
      <c r="F47" s="210"/>
      <c r="G47" s="210"/>
      <c r="H47" s="210"/>
      <c r="I47" s="210"/>
      <c r="J47" s="211"/>
      <c r="K47" s="48">
        <f>(K45+K46)</f>
        <v>14091.944480000002</v>
      </c>
    </row>
    <row r="48" spans="1:11" ht="15" customHeight="1" x14ac:dyDescent="0.25">
      <c r="A48" s="212" t="s">
        <v>100</v>
      </c>
      <c r="B48" s="213"/>
      <c r="C48" s="213"/>
      <c r="D48" s="213"/>
      <c r="E48" s="213"/>
      <c r="F48" s="213"/>
      <c r="G48" s="213"/>
      <c r="H48" s="213"/>
      <c r="I48" s="213"/>
      <c r="J48" s="214"/>
      <c r="K48" s="45">
        <f>+SUM(E8:E19,H22)</f>
        <v>407</v>
      </c>
    </row>
    <row r="49" spans="1:11" ht="21" customHeight="1" x14ac:dyDescent="0.25">
      <c r="A49" s="219" t="s">
        <v>118</v>
      </c>
      <c r="B49" s="220"/>
      <c r="C49" s="220"/>
      <c r="D49" s="221"/>
      <c r="E49" s="216" t="s">
        <v>101</v>
      </c>
      <c r="F49" s="217"/>
      <c r="G49" s="217"/>
      <c r="H49" s="217"/>
      <c r="I49" s="217"/>
      <c r="J49" s="218"/>
      <c r="K49" s="56"/>
    </row>
    <row r="50" spans="1:11" ht="35.25" customHeight="1" x14ac:dyDescent="0.25">
      <c r="A50" s="222"/>
      <c r="B50" s="223"/>
      <c r="C50" s="223"/>
      <c r="D50" s="223"/>
      <c r="E50" s="215" t="s">
        <v>102</v>
      </c>
      <c r="F50" s="215"/>
      <c r="G50" s="215"/>
      <c r="H50" s="215"/>
      <c r="I50" s="215"/>
      <c r="J50" s="215"/>
      <c r="K50" s="45">
        <f>+K47</f>
        <v>14091.944480000002</v>
      </c>
    </row>
    <row r="51" spans="1:11" ht="36" customHeight="1" x14ac:dyDescent="0.25">
      <c r="A51" s="222"/>
      <c r="B51" s="223"/>
      <c r="C51" s="223"/>
      <c r="D51" s="223"/>
      <c r="E51" s="215" t="s">
        <v>103</v>
      </c>
      <c r="F51" s="215"/>
      <c r="G51" s="215"/>
      <c r="H51" s="215"/>
      <c r="I51" s="215"/>
      <c r="J51" s="215"/>
      <c r="K51" s="45">
        <f>+K45</f>
        <v>12148.228000000001</v>
      </c>
    </row>
    <row r="52" spans="1:11" ht="35.25" customHeight="1" x14ac:dyDescent="0.25">
      <c r="A52" s="222"/>
      <c r="B52" s="223"/>
      <c r="C52" s="223"/>
      <c r="D52" s="223"/>
      <c r="E52" s="215" t="s">
        <v>104</v>
      </c>
      <c r="F52" s="215"/>
      <c r="G52" s="215"/>
      <c r="H52" s="215"/>
      <c r="I52" s="215"/>
      <c r="J52" s="54">
        <v>0.16</v>
      </c>
      <c r="K52" s="45">
        <f>+K51*J52</f>
        <v>1943.7164800000003</v>
      </c>
    </row>
    <row r="53" spans="1:11" x14ac:dyDescent="0.25">
      <c r="A53" s="222"/>
      <c r="B53" s="223"/>
      <c r="C53" s="223"/>
      <c r="D53" s="223"/>
      <c r="E53" s="226" t="s">
        <v>105</v>
      </c>
      <c r="F53" s="226"/>
      <c r="G53" s="226"/>
      <c r="H53" s="226"/>
      <c r="I53" s="226"/>
      <c r="J53" s="226"/>
      <c r="K53" s="227"/>
    </row>
    <row r="54" spans="1:11" ht="19.5" customHeight="1" thickBot="1" x14ac:dyDescent="0.3">
      <c r="A54" s="224"/>
      <c r="B54" s="225"/>
      <c r="C54" s="225"/>
      <c r="D54" s="225"/>
      <c r="E54" s="228" t="s">
        <v>106</v>
      </c>
      <c r="F54" s="228"/>
      <c r="G54" s="228"/>
      <c r="H54" s="228"/>
      <c r="I54" s="228"/>
      <c r="J54" s="228"/>
      <c r="K54" s="57">
        <f>+K39/K42</f>
        <v>0.73658709731164085</v>
      </c>
    </row>
  </sheetData>
  <mergeCells count="62">
    <mergeCell ref="A1:K1"/>
    <mergeCell ref="A2:K2"/>
    <mergeCell ref="A3:C3"/>
    <mergeCell ref="D3:K3"/>
    <mergeCell ref="B4:D4"/>
    <mergeCell ref="F4:I4"/>
    <mergeCell ref="B15:D15"/>
    <mergeCell ref="B5:D5"/>
    <mergeCell ref="F5:I5"/>
    <mergeCell ref="A6:K6"/>
    <mergeCell ref="B7:D7"/>
    <mergeCell ref="B8:D8"/>
    <mergeCell ref="B9:D9"/>
    <mergeCell ref="B10:D10"/>
    <mergeCell ref="B11:D11"/>
    <mergeCell ref="B12:D12"/>
    <mergeCell ref="B13:D13"/>
    <mergeCell ref="B14:D14"/>
    <mergeCell ref="B22:E22"/>
    <mergeCell ref="B23:E23"/>
    <mergeCell ref="B24:E24"/>
    <mergeCell ref="B16:D16"/>
    <mergeCell ref="B17:D17"/>
    <mergeCell ref="B18:D18"/>
    <mergeCell ref="B19:D19"/>
    <mergeCell ref="A20:J20"/>
    <mergeCell ref="A21:K21"/>
    <mergeCell ref="A25:J25"/>
    <mergeCell ref="A26:K26"/>
    <mergeCell ref="H29:K29"/>
    <mergeCell ref="A29:G29"/>
    <mergeCell ref="A27:K28"/>
    <mergeCell ref="H30:K30"/>
    <mergeCell ref="H31:K31"/>
    <mergeCell ref="A30:G30"/>
    <mergeCell ref="A31:G31"/>
    <mergeCell ref="H32:K32"/>
    <mergeCell ref="A32:G32"/>
    <mergeCell ref="A33:K33"/>
    <mergeCell ref="A36:K36"/>
    <mergeCell ref="A37:J37"/>
    <mergeCell ref="A34:K35"/>
    <mergeCell ref="A38:I38"/>
    <mergeCell ref="A39:J39"/>
    <mergeCell ref="A45:J45"/>
    <mergeCell ref="A46:I46"/>
    <mergeCell ref="A42:J42"/>
    <mergeCell ref="A44:J44"/>
    <mergeCell ref="H41:I41"/>
    <mergeCell ref="H40:I40"/>
    <mergeCell ref="A43:J43"/>
    <mergeCell ref="A40:G40"/>
    <mergeCell ref="A47:J47"/>
    <mergeCell ref="A48:J48"/>
    <mergeCell ref="E50:J50"/>
    <mergeCell ref="E51:J51"/>
    <mergeCell ref="E52:I52"/>
    <mergeCell ref="E49:J49"/>
    <mergeCell ref="A49:D49"/>
    <mergeCell ref="A50:D54"/>
    <mergeCell ref="E53:K53"/>
    <mergeCell ref="E54:J54"/>
  </mergeCells>
  <dataValidations count="2">
    <dataValidation type="list" allowBlank="1" showInputMessage="1" showErrorMessage="1" sqref="F8:F18 F22:F24" xr:uid="{00000000-0002-0000-0000-000000000000}">
      <formula1>"Grs, ml, cc, Oz, Lb, Kl, Unidad, Cant. suficiente"</formula1>
    </dataValidation>
    <dataValidation type="list" allowBlank="1" showInputMessage="1" showErrorMessage="1" sqref="G8:G19 G22:G24" xr:uid="{00000000-0002-0000-0000-000001000000}">
      <formula1>"Kilo, Libra, Onza, Galón, Arroba, Litro, Otra"</formula1>
    </dataValidation>
  </dataValidations>
  <pageMargins left="1.17" right="0.52" top="0.46" bottom="0.87" header="0.31496062992125984" footer="0.31496062992125984"/>
  <pageSetup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S65"/>
  <sheetViews>
    <sheetView zoomScale="90" zoomScaleNormal="90" workbookViewId="0">
      <selection activeCell="Q13" sqref="Q13"/>
    </sheetView>
  </sheetViews>
  <sheetFormatPr baseColWidth="10" defaultColWidth="11.42578125" defaultRowHeight="15" x14ac:dyDescent="0.25"/>
  <cols>
    <col min="1" max="1" width="6.140625" style="136" customWidth="1"/>
    <col min="2" max="2" width="12.42578125" style="136" customWidth="1"/>
    <col min="3" max="3" width="10" style="136" customWidth="1"/>
    <col min="4" max="4" width="5.28515625" style="136" customWidth="1"/>
    <col min="5" max="5" width="9.42578125" style="136" customWidth="1"/>
    <col min="6" max="6" width="9" style="136" customWidth="1"/>
    <col min="7" max="7" width="8.42578125" style="136" customWidth="1"/>
    <col min="8" max="8" width="12.85546875" style="136" bestFit="1" customWidth="1"/>
    <col min="9" max="9" width="14.140625" style="136" customWidth="1"/>
    <col min="10" max="10" width="14.5703125" style="136" customWidth="1"/>
    <col min="11" max="11" width="10.140625" style="136" customWidth="1"/>
    <col min="12" max="12" width="12.85546875" style="136" bestFit="1" customWidth="1"/>
    <col min="13" max="13" width="18" style="136" bestFit="1" customWidth="1"/>
    <col min="14" max="16384" width="11.42578125" style="136"/>
  </cols>
  <sheetData>
    <row r="1" spans="1:19" ht="26.25" x14ac:dyDescent="0.25">
      <c r="A1" s="328" t="s">
        <v>158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30"/>
    </row>
    <row r="2" spans="1:19" ht="27" customHeight="1" x14ac:dyDescent="0.25">
      <c r="A2" s="331" t="s">
        <v>141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</row>
    <row r="3" spans="1:19" ht="25.5" customHeight="1" x14ac:dyDescent="0.25">
      <c r="A3" s="332" t="s">
        <v>59</v>
      </c>
      <c r="B3" s="332"/>
      <c r="C3" s="332"/>
      <c r="D3" s="332"/>
      <c r="E3" s="332"/>
      <c r="F3" s="333"/>
      <c r="G3" s="334"/>
      <c r="H3" s="334"/>
      <c r="I3" s="334"/>
      <c r="J3" s="334"/>
      <c r="K3" s="335" t="s">
        <v>142</v>
      </c>
      <c r="L3" s="335"/>
      <c r="M3" s="131" t="s">
        <v>157</v>
      </c>
    </row>
    <row r="4" spans="1:19" ht="25.5" customHeight="1" x14ac:dyDescent="0.25">
      <c r="A4" s="137" t="s">
        <v>64</v>
      </c>
      <c r="B4" s="336"/>
      <c r="C4" s="336"/>
      <c r="D4" s="336"/>
      <c r="E4" s="138" t="s">
        <v>61</v>
      </c>
      <c r="F4" s="132"/>
      <c r="G4" s="139" t="s">
        <v>62</v>
      </c>
      <c r="H4" s="130"/>
      <c r="I4" s="140" t="s">
        <v>65</v>
      </c>
      <c r="J4" s="337"/>
      <c r="K4" s="338"/>
      <c r="L4" s="141" t="s">
        <v>122</v>
      </c>
      <c r="M4" s="584">
        <v>1200</v>
      </c>
    </row>
    <row r="5" spans="1:19" ht="26.25" customHeight="1" x14ac:dyDescent="0.25">
      <c r="A5" s="341" t="s">
        <v>67</v>
      </c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3"/>
    </row>
    <row r="6" spans="1:19" ht="74.25" customHeight="1" x14ac:dyDescent="0.25">
      <c r="A6" s="142" t="s">
        <v>84</v>
      </c>
      <c r="B6" s="340" t="s">
        <v>68</v>
      </c>
      <c r="C6" s="340"/>
      <c r="D6" s="340"/>
      <c r="E6" s="143" t="s">
        <v>69</v>
      </c>
      <c r="F6" s="143" t="s">
        <v>70</v>
      </c>
      <c r="G6" s="143" t="s">
        <v>172</v>
      </c>
      <c r="H6" s="143" t="s">
        <v>159</v>
      </c>
      <c r="I6" s="143" t="s">
        <v>132</v>
      </c>
      <c r="J6" s="143" t="s">
        <v>123</v>
      </c>
      <c r="K6" s="143" t="s">
        <v>72</v>
      </c>
      <c r="L6" s="143" t="s">
        <v>73</v>
      </c>
      <c r="M6" s="144" t="s">
        <v>166</v>
      </c>
      <c r="Q6" s="145"/>
      <c r="S6" s="146"/>
    </row>
    <row r="7" spans="1:19" ht="15.75" customHeight="1" x14ac:dyDescent="0.25">
      <c r="A7" s="87">
        <v>1</v>
      </c>
      <c r="B7" s="339" t="s">
        <v>167</v>
      </c>
      <c r="C7" s="339"/>
      <c r="D7" s="339"/>
      <c r="E7" s="88">
        <v>200</v>
      </c>
      <c r="F7" s="89" t="s">
        <v>76</v>
      </c>
      <c r="G7" s="156">
        <v>0.9</v>
      </c>
      <c r="H7" s="99">
        <f>IFERROR(E7/G7,0)*$M$4</f>
        <v>266666.66666666669</v>
      </c>
      <c r="I7" s="158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>533.33333333333337</v>
      </c>
      <c r="J7" s="159" t="s">
        <v>109</v>
      </c>
      <c r="K7" s="91">
        <v>40000</v>
      </c>
      <c r="L7" s="100">
        <f>IF(ISERROR(M7/$M$4)," ",(M7/$M$4))</f>
        <v>17777.777777777781</v>
      </c>
      <c r="M7" s="157">
        <f>IF(ISERROR(I7*K7)," ",I7*K7)</f>
        <v>21333333.333333336</v>
      </c>
      <c r="O7" s="147"/>
    </row>
    <row r="8" spans="1:19" ht="15.75" customHeight="1" x14ac:dyDescent="0.25">
      <c r="A8" s="87">
        <v>2</v>
      </c>
      <c r="B8" s="339" t="s">
        <v>168</v>
      </c>
      <c r="C8" s="339"/>
      <c r="D8" s="339"/>
      <c r="E8" s="88">
        <v>2</v>
      </c>
      <c r="F8" s="89" t="s">
        <v>76</v>
      </c>
      <c r="G8" s="156">
        <v>0.95</v>
      </c>
      <c r="H8" s="99">
        <f t="shared" ref="H8:H26" si="0">IFERROR(E8/G8,0)*$M$4</f>
        <v>2526.3157894736842</v>
      </c>
      <c r="I8" s="158">
        <f t="shared" ref="I8:I26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>5.0526315789473681</v>
      </c>
      <c r="J8" s="159" t="s">
        <v>109</v>
      </c>
      <c r="K8" s="91">
        <v>7000</v>
      </c>
      <c r="L8" s="100">
        <f t="shared" ref="L8:L26" si="2">IF(ISERROR(M8/$M$4)," ",(M8/$M$4))</f>
        <v>29.473684210526315</v>
      </c>
      <c r="M8" s="157">
        <f t="shared" ref="M8:M26" si="3">IF(ISERROR(I8*K8)," ",I8*K8)</f>
        <v>35368.42105263158</v>
      </c>
      <c r="N8" s="145"/>
      <c r="P8" s="146"/>
    </row>
    <row r="9" spans="1:19" x14ac:dyDescent="0.25">
      <c r="A9" s="87">
        <v>3</v>
      </c>
      <c r="B9" s="339" t="s">
        <v>117</v>
      </c>
      <c r="C9" s="339"/>
      <c r="D9" s="339"/>
      <c r="E9" s="88">
        <v>2</v>
      </c>
      <c r="F9" s="89" t="s">
        <v>76</v>
      </c>
      <c r="G9" s="156">
        <v>1</v>
      </c>
      <c r="H9" s="99">
        <f t="shared" si="0"/>
        <v>2400</v>
      </c>
      <c r="I9" s="158">
        <f t="shared" si="1"/>
        <v>4.8</v>
      </c>
      <c r="J9" s="159" t="s">
        <v>109</v>
      </c>
      <c r="K9" s="91">
        <v>2000</v>
      </c>
      <c r="L9" s="100">
        <f t="shared" si="2"/>
        <v>8</v>
      </c>
      <c r="M9" s="157">
        <f t="shared" si="3"/>
        <v>9600</v>
      </c>
      <c r="N9" s="145"/>
      <c r="O9" s="145"/>
    </row>
    <row r="10" spans="1:19" x14ac:dyDescent="0.25">
      <c r="A10" s="87">
        <v>4</v>
      </c>
      <c r="B10" s="339"/>
      <c r="C10" s="339"/>
      <c r="D10" s="339"/>
      <c r="E10" s="88"/>
      <c r="F10" s="89"/>
      <c r="G10" s="156"/>
      <c r="H10" s="99">
        <f t="shared" si="0"/>
        <v>0</v>
      </c>
      <c r="I10" s="158" t="str">
        <f t="shared" si="1"/>
        <v xml:space="preserve"> </v>
      </c>
      <c r="J10" s="159"/>
      <c r="K10" s="91"/>
      <c r="L10" s="100" t="str">
        <f t="shared" si="2"/>
        <v xml:space="preserve"> </v>
      </c>
      <c r="M10" s="157" t="str">
        <f t="shared" si="3"/>
        <v xml:space="preserve"> </v>
      </c>
    </row>
    <row r="11" spans="1:19" ht="15.75" customHeight="1" x14ac:dyDescent="0.25">
      <c r="A11" s="87">
        <v>5</v>
      </c>
      <c r="B11" s="339"/>
      <c r="C11" s="339"/>
      <c r="D11" s="339"/>
      <c r="E11" s="88"/>
      <c r="F11" s="89"/>
      <c r="G11" s="156"/>
      <c r="H11" s="99">
        <f t="shared" si="0"/>
        <v>0</v>
      </c>
      <c r="I11" s="158" t="str">
        <f t="shared" si="1"/>
        <v xml:space="preserve"> </v>
      </c>
      <c r="J11" s="159"/>
      <c r="K11" s="91"/>
      <c r="L11" s="100" t="str">
        <f t="shared" si="2"/>
        <v xml:space="preserve"> </v>
      </c>
      <c r="M11" s="157" t="str">
        <f t="shared" si="3"/>
        <v xml:space="preserve"> </v>
      </c>
      <c r="O11" s="145"/>
    </row>
    <row r="12" spans="1:19" ht="15" customHeight="1" x14ac:dyDescent="0.25">
      <c r="A12" s="87">
        <v>6</v>
      </c>
      <c r="B12" s="339"/>
      <c r="C12" s="339"/>
      <c r="D12" s="339"/>
      <c r="E12" s="88"/>
      <c r="F12" s="89"/>
      <c r="G12" s="156"/>
      <c r="H12" s="99">
        <f t="shared" si="0"/>
        <v>0</v>
      </c>
      <c r="I12" s="158" t="str">
        <f t="shared" si="1"/>
        <v xml:space="preserve"> </v>
      </c>
      <c r="J12" s="159"/>
      <c r="K12" s="91"/>
      <c r="L12" s="100" t="str">
        <f t="shared" si="2"/>
        <v xml:space="preserve"> </v>
      </c>
      <c r="M12" s="157" t="str">
        <f t="shared" si="3"/>
        <v xml:space="preserve"> </v>
      </c>
    </row>
    <row r="13" spans="1:19" ht="15" customHeight="1" x14ac:dyDescent="0.25">
      <c r="A13" s="87">
        <v>7</v>
      </c>
      <c r="B13" s="339"/>
      <c r="C13" s="339"/>
      <c r="D13" s="339"/>
      <c r="E13" s="88"/>
      <c r="F13" s="89"/>
      <c r="G13" s="156"/>
      <c r="H13" s="99">
        <f t="shared" si="0"/>
        <v>0</v>
      </c>
      <c r="I13" s="158" t="str">
        <f t="shared" si="1"/>
        <v xml:space="preserve"> </v>
      </c>
      <c r="J13" s="159"/>
      <c r="K13" s="91"/>
      <c r="L13" s="100" t="str">
        <f t="shared" si="2"/>
        <v xml:space="preserve"> </v>
      </c>
      <c r="M13" s="157" t="str">
        <f t="shared" si="3"/>
        <v xml:space="preserve"> </v>
      </c>
    </row>
    <row r="14" spans="1:19" ht="15" customHeight="1" x14ac:dyDescent="0.25">
      <c r="A14" s="87">
        <v>8</v>
      </c>
      <c r="B14" s="339"/>
      <c r="C14" s="339"/>
      <c r="D14" s="339"/>
      <c r="E14" s="88"/>
      <c r="F14" s="89"/>
      <c r="G14" s="156"/>
      <c r="H14" s="99">
        <f t="shared" si="0"/>
        <v>0</v>
      </c>
      <c r="I14" s="158" t="str">
        <f t="shared" si="1"/>
        <v xml:space="preserve"> </v>
      </c>
      <c r="J14" s="159"/>
      <c r="K14" s="91"/>
      <c r="L14" s="100" t="str">
        <f t="shared" si="2"/>
        <v xml:space="preserve"> </v>
      </c>
      <c r="M14" s="157" t="str">
        <f t="shared" si="3"/>
        <v xml:space="preserve"> </v>
      </c>
    </row>
    <row r="15" spans="1:19" ht="15" customHeight="1" x14ac:dyDescent="0.25">
      <c r="A15" s="87">
        <v>9</v>
      </c>
      <c r="B15" s="339"/>
      <c r="C15" s="339"/>
      <c r="D15" s="339"/>
      <c r="E15" s="88"/>
      <c r="F15" s="89"/>
      <c r="G15" s="156"/>
      <c r="H15" s="99">
        <f t="shared" si="0"/>
        <v>0</v>
      </c>
      <c r="I15" s="158" t="str">
        <f t="shared" si="1"/>
        <v xml:space="preserve"> </v>
      </c>
      <c r="J15" s="159"/>
      <c r="K15" s="91"/>
      <c r="L15" s="100" t="str">
        <f t="shared" si="2"/>
        <v xml:space="preserve"> </v>
      </c>
      <c r="M15" s="157" t="str">
        <f t="shared" si="3"/>
        <v xml:space="preserve"> </v>
      </c>
    </row>
    <row r="16" spans="1:19" ht="15" customHeight="1" x14ac:dyDescent="0.25">
      <c r="A16" s="87">
        <v>10</v>
      </c>
      <c r="B16" s="339"/>
      <c r="C16" s="339"/>
      <c r="D16" s="339"/>
      <c r="E16" s="88"/>
      <c r="F16" s="89"/>
      <c r="G16" s="156"/>
      <c r="H16" s="99">
        <f t="shared" si="0"/>
        <v>0</v>
      </c>
      <c r="I16" s="158" t="str">
        <f t="shared" si="1"/>
        <v xml:space="preserve"> </v>
      </c>
      <c r="J16" s="159"/>
      <c r="K16" s="91"/>
      <c r="L16" s="100" t="str">
        <f t="shared" si="2"/>
        <v xml:space="preserve"> </v>
      </c>
      <c r="M16" s="157" t="str">
        <f t="shared" si="3"/>
        <v xml:space="preserve"> </v>
      </c>
    </row>
    <row r="17" spans="1:16" ht="15" customHeight="1" x14ac:dyDescent="0.25">
      <c r="A17" s="87">
        <v>11</v>
      </c>
      <c r="B17" s="339"/>
      <c r="C17" s="339"/>
      <c r="D17" s="339"/>
      <c r="E17" s="88"/>
      <c r="F17" s="89"/>
      <c r="G17" s="156"/>
      <c r="H17" s="99">
        <f t="shared" si="0"/>
        <v>0</v>
      </c>
      <c r="I17" s="158" t="str">
        <f t="shared" si="1"/>
        <v xml:space="preserve"> </v>
      </c>
      <c r="J17" s="159"/>
      <c r="K17" s="91"/>
      <c r="L17" s="100" t="str">
        <f t="shared" si="2"/>
        <v xml:space="preserve"> </v>
      </c>
      <c r="M17" s="157" t="str">
        <f t="shared" si="3"/>
        <v xml:space="preserve"> </v>
      </c>
    </row>
    <row r="18" spans="1:16" ht="15" customHeight="1" x14ac:dyDescent="0.25">
      <c r="A18" s="87">
        <v>12</v>
      </c>
      <c r="B18" s="339"/>
      <c r="C18" s="339"/>
      <c r="D18" s="339"/>
      <c r="E18" s="88"/>
      <c r="F18" s="89"/>
      <c r="G18" s="156"/>
      <c r="H18" s="99">
        <f t="shared" si="0"/>
        <v>0</v>
      </c>
      <c r="I18" s="158" t="str">
        <f t="shared" si="1"/>
        <v xml:space="preserve"> </v>
      </c>
      <c r="J18" s="159"/>
      <c r="K18" s="91"/>
      <c r="L18" s="100" t="str">
        <f t="shared" si="2"/>
        <v xml:space="preserve"> </v>
      </c>
      <c r="M18" s="157" t="str">
        <f t="shared" si="3"/>
        <v xml:space="preserve"> </v>
      </c>
    </row>
    <row r="19" spans="1:16" ht="15" customHeight="1" x14ac:dyDescent="0.25">
      <c r="A19" s="87">
        <v>13</v>
      </c>
      <c r="B19" s="339"/>
      <c r="C19" s="339"/>
      <c r="D19" s="339"/>
      <c r="E19" s="88"/>
      <c r="F19" s="89"/>
      <c r="G19" s="156"/>
      <c r="H19" s="99">
        <f t="shared" si="0"/>
        <v>0</v>
      </c>
      <c r="I19" s="158" t="str">
        <f t="shared" si="1"/>
        <v xml:space="preserve"> </v>
      </c>
      <c r="J19" s="159"/>
      <c r="K19" s="91"/>
      <c r="L19" s="100" t="str">
        <f t="shared" si="2"/>
        <v xml:space="preserve"> </v>
      </c>
      <c r="M19" s="157" t="str">
        <f t="shared" si="3"/>
        <v xml:space="preserve"> </v>
      </c>
    </row>
    <row r="20" spans="1:16" ht="15" customHeight="1" x14ac:dyDescent="0.25">
      <c r="A20" s="87">
        <v>14</v>
      </c>
      <c r="B20" s="339"/>
      <c r="C20" s="339"/>
      <c r="D20" s="339"/>
      <c r="E20" s="88"/>
      <c r="F20" s="89"/>
      <c r="G20" s="156"/>
      <c r="H20" s="99">
        <f t="shared" si="0"/>
        <v>0</v>
      </c>
      <c r="I20" s="158" t="str">
        <f t="shared" si="1"/>
        <v xml:space="preserve"> </v>
      </c>
      <c r="J20" s="159"/>
      <c r="K20" s="91"/>
      <c r="L20" s="100" t="str">
        <f t="shared" si="2"/>
        <v xml:space="preserve"> </v>
      </c>
      <c r="M20" s="157" t="str">
        <f t="shared" si="3"/>
        <v xml:space="preserve"> </v>
      </c>
    </row>
    <row r="21" spans="1:16" ht="15" customHeight="1" x14ac:dyDescent="0.25">
      <c r="A21" s="87">
        <v>15</v>
      </c>
      <c r="B21" s="339"/>
      <c r="C21" s="339"/>
      <c r="D21" s="339"/>
      <c r="E21" s="88"/>
      <c r="F21" s="89"/>
      <c r="G21" s="156"/>
      <c r="H21" s="99">
        <f t="shared" si="0"/>
        <v>0</v>
      </c>
      <c r="I21" s="158" t="str">
        <f t="shared" si="1"/>
        <v xml:space="preserve"> </v>
      </c>
      <c r="J21" s="159"/>
      <c r="K21" s="91"/>
      <c r="L21" s="100" t="str">
        <f t="shared" si="2"/>
        <v xml:space="preserve"> </v>
      </c>
      <c r="M21" s="157" t="str">
        <f t="shared" si="3"/>
        <v xml:space="preserve"> </v>
      </c>
      <c r="O21" s="148"/>
    </row>
    <row r="22" spans="1:16" ht="15" customHeight="1" x14ac:dyDescent="0.25">
      <c r="A22" s="87">
        <v>16</v>
      </c>
      <c r="B22" s="339"/>
      <c r="C22" s="339"/>
      <c r="D22" s="339"/>
      <c r="E22" s="88"/>
      <c r="F22" s="89"/>
      <c r="G22" s="156"/>
      <c r="H22" s="99">
        <f t="shared" si="0"/>
        <v>0</v>
      </c>
      <c r="I22" s="158" t="str">
        <f t="shared" si="1"/>
        <v xml:space="preserve"> </v>
      </c>
      <c r="J22" s="159"/>
      <c r="K22" s="91"/>
      <c r="L22" s="100" t="str">
        <f t="shared" si="2"/>
        <v xml:space="preserve"> </v>
      </c>
      <c r="M22" s="157" t="str">
        <f t="shared" si="3"/>
        <v xml:space="preserve"> </v>
      </c>
    </row>
    <row r="23" spans="1:16" ht="15" customHeight="1" x14ac:dyDescent="0.25">
      <c r="A23" s="87">
        <v>17</v>
      </c>
      <c r="B23" s="339"/>
      <c r="C23" s="339"/>
      <c r="D23" s="339"/>
      <c r="E23" s="88"/>
      <c r="F23" s="89"/>
      <c r="G23" s="156"/>
      <c r="H23" s="99">
        <f t="shared" si="0"/>
        <v>0</v>
      </c>
      <c r="I23" s="158" t="str">
        <f t="shared" si="1"/>
        <v xml:space="preserve"> </v>
      </c>
      <c r="J23" s="159"/>
      <c r="K23" s="91"/>
      <c r="L23" s="100" t="str">
        <f t="shared" si="2"/>
        <v xml:space="preserve"> </v>
      </c>
      <c r="M23" s="157" t="str">
        <f t="shared" si="3"/>
        <v xml:space="preserve"> </v>
      </c>
      <c r="P23" s="145"/>
    </row>
    <row r="24" spans="1:16" x14ac:dyDescent="0.25">
      <c r="A24" s="87">
        <v>18</v>
      </c>
      <c r="B24" s="339"/>
      <c r="C24" s="339"/>
      <c r="D24" s="339"/>
      <c r="E24" s="88"/>
      <c r="F24" s="89"/>
      <c r="G24" s="156"/>
      <c r="H24" s="99">
        <f t="shared" si="0"/>
        <v>0</v>
      </c>
      <c r="I24" s="158" t="str">
        <f t="shared" si="1"/>
        <v xml:space="preserve"> </v>
      </c>
      <c r="J24" s="159"/>
      <c r="K24" s="91"/>
      <c r="L24" s="100" t="str">
        <f t="shared" si="2"/>
        <v xml:space="preserve"> </v>
      </c>
      <c r="M24" s="157" t="str">
        <f t="shared" si="3"/>
        <v xml:space="preserve"> </v>
      </c>
    </row>
    <row r="25" spans="1:16" x14ac:dyDescent="0.25">
      <c r="A25" s="87">
        <v>19</v>
      </c>
      <c r="B25" s="339"/>
      <c r="C25" s="339"/>
      <c r="D25" s="339"/>
      <c r="E25" s="88"/>
      <c r="F25" s="89"/>
      <c r="G25" s="156"/>
      <c r="H25" s="99">
        <f t="shared" si="0"/>
        <v>0</v>
      </c>
      <c r="I25" s="158" t="str">
        <f t="shared" si="1"/>
        <v xml:space="preserve"> </v>
      </c>
      <c r="J25" s="159"/>
      <c r="K25" s="91"/>
      <c r="L25" s="100" t="str">
        <f t="shared" si="2"/>
        <v xml:space="preserve"> </v>
      </c>
      <c r="M25" s="157" t="str">
        <f t="shared" si="3"/>
        <v xml:space="preserve"> </v>
      </c>
    </row>
    <row r="26" spans="1:16" x14ac:dyDescent="0.25">
      <c r="A26" s="87">
        <v>20</v>
      </c>
      <c r="B26" s="339"/>
      <c r="C26" s="339"/>
      <c r="D26" s="339"/>
      <c r="E26" s="88"/>
      <c r="F26" s="89"/>
      <c r="G26" s="156"/>
      <c r="H26" s="99">
        <f t="shared" si="0"/>
        <v>0</v>
      </c>
      <c r="I26" s="158" t="str">
        <f t="shared" si="1"/>
        <v xml:space="preserve"> </v>
      </c>
      <c r="J26" s="159"/>
      <c r="K26" s="91"/>
      <c r="L26" s="100" t="str">
        <f t="shared" si="2"/>
        <v xml:space="preserve"> </v>
      </c>
      <c r="M26" s="157" t="str">
        <f t="shared" si="3"/>
        <v xml:space="preserve"> </v>
      </c>
      <c r="O26" s="149"/>
    </row>
    <row r="27" spans="1:16" ht="16.5" thickBot="1" x14ac:dyDescent="0.3">
      <c r="A27" s="350" t="s">
        <v>83</v>
      </c>
      <c r="B27" s="351"/>
      <c r="C27" s="351"/>
      <c r="D27" s="351"/>
      <c r="E27" s="351"/>
      <c r="F27" s="351"/>
      <c r="G27" s="351"/>
      <c r="H27" s="351"/>
      <c r="I27" s="351"/>
      <c r="J27" s="351"/>
      <c r="K27" s="351"/>
      <c r="L27" s="93">
        <f>SUM(L7:L26)</f>
        <v>17815.251461988308</v>
      </c>
      <c r="M27" s="102">
        <f>SUM(M7:M26)</f>
        <v>21378301.754385967</v>
      </c>
    </row>
    <row r="28" spans="1:16" ht="15.75" x14ac:dyDescent="0.25">
      <c r="A28" s="352" t="s">
        <v>85</v>
      </c>
      <c r="B28" s="353"/>
      <c r="C28" s="353"/>
      <c r="D28" s="353"/>
      <c r="E28" s="353"/>
      <c r="F28" s="353"/>
      <c r="G28" s="353"/>
      <c r="H28" s="353"/>
      <c r="I28" s="353"/>
      <c r="J28" s="353"/>
      <c r="K28" s="353"/>
      <c r="L28" s="354"/>
      <c r="M28" s="355"/>
    </row>
    <row r="29" spans="1:16" ht="17.25" customHeight="1" x14ac:dyDescent="0.25">
      <c r="A29" s="94">
        <v>1</v>
      </c>
      <c r="B29" s="280">
        <f>+'R. E. C 1'!F3</f>
        <v>0</v>
      </c>
      <c r="C29" s="280"/>
      <c r="D29" s="280"/>
      <c r="E29" s="280"/>
      <c r="F29" s="280"/>
      <c r="G29" s="280"/>
      <c r="H29" s="280"/>
      <c r="I29" s="280"/>
      <c r="J29" s="280"/>
      <c r="K29" s="280"/>
      <c r="L29" s="110">
        <f>+'R. E. C 1'!L19</f>
        <v>0</v>
      </c>
      <c r="M29" s="111">
        <f>+'R. E. C 1'!M19</f>
        <v>0</v>
      </c>
    </row>
    <row r="30" spans="1:16" ht="17.25" customHeight="1" x14ac:dyDescent="0.25">
      <c r="A30" s="94">
        <v>2</v>
      </c>
      <c r="B30" s="280">
        <f>+'R. E. C 2'!F3</f>
        <v>0</v>
      </c>
      <c r="C30" s="280"/>
      <c r="D30" s="280"/>
      <c r="E30" s="280"/>
      <c r="F30" s="280"/>
      <c r="G30" s="280"/>
      <c r="H30" s="280"/>
      <c r="I30" s="280" t="str">
        <f>+IF(J30="Kilo",H30/1000,IF(J30="Huevo caja x 30",H30/30,IF(J30="Libra",H30/500,IF(J30="Litro",H30/1000,IF(J30="Galón",H30/3800,IF(J30="Onza",H30/30,IF(J30="Fco. 500 ml",H30/500,IF(J30="Fco. 200 ml",H30/200,IF(J30="Unidad",E30*$M$5," ")))))))))</f>
        <v xml:space="preserve"> </v>
      </c>
      <c r="J30" s="280"/>
      <c r="K30" s="280"/>
      <c r="L30" s="110">
        <f>+'R. E. C 2'!L19</f>
        <v>0</v>
      </c>
      <c r="M30" s="111">
        <f>+'R. E. C 2'!M19</f>
        <v>0</v>
      </c>
    </row>
    <row r="31" spans="1:16" ht="17.25" customHeight="1" x14ac:dyDescent="0.25">
      <c r="A31" s="94">
        <v>3</v>
      </c>
      <c r="B31" s="280">
        <f>+'R. E. C  3'!F3</f>
        <v>0</v>
      </c>
      <c r="C31" s="280"/>
      <c r="D31" s="280"/>
      <c r="E31" s="280"/>
      <c r="F31" s="280"/>
      <c r="G31" s="280"/>
      <c r="H31" s="280"/>
      <c r="I31" s="280" t="str">
        <f>+IF(J31="Kilo",H31/1000,IF(J31="Huevo caja x 30",H31/30,IF(J31="Libra",H31/500,IF(J31="Litro",H31/1000,IF(J31="Galón",H31/3800,IF(J31="Onza",H31/30,IF(J31="Fco. 500 ml",H31/500,IF(J31="Fco. 200 ml",H31/200,IF(J31="Unidad",E31*$M$5," ")))))))))</f>
        <v xml:space="preserve"> </v>
      </c>
      <c r="J31" s="280"/>
      <c r="K31" s="280"/>
      <c r="L31" s="110">
        <f>+'R. E. C  3'!L19</f>
        <v>0</v>
      </c>
      <c r="M31" s="111">
        <f>+'R. E. C  3'!M19</f>
        <v>0</v>
      </c>
    </row>
    <row r="32" spans="1:16" x14ac:dyDescent="0.25">
      <c r="A32" s="94">
        <v>4</v>
      </c>
      <c r="B32" s="280">
        <f>+'R. E. C  4'!F3</f>
        <v>0</v>
      </c>
      <c r="C32" s="280"/>
      <c r="D32" s="280"/>
      <c r="E32" s="280"/>
      <c r="F32" s="280"/>
      <c r="G32" s="280"/>
      <c r="H32" s="280" t="e">
        <f>+#REF!+(#REF!*G32)</f>
        <v>#REF!</v>
      </c>
      <c r="I32" s="280" t="str">
        <f>+IF(J32="Kilo",H32/1000,IF(J32="Huevo caja x 30",H32/30,IF(J32="Libra",H32/500,IF(J32="Litro",H32/1000,IF(J32="Galón",H32/3800,IF(J32="Onza",H32/30,IF(J32="Fco. 500 ml",H32/500,IF(J32="Fco. 200 ml",H32/200,IF(J32="Unidad",E32*$M$5," ")))))))))</f>
        <v xml:space="preserve"> </v>
      </c>
      <c r="J32" s="280"/>
      <c r="K32" s="280"/>
      <c r="L32" s="110">
        <f>+'R. E. C  4'!L19</f>
        <v>0</v>
      </c>
      <c r="M32" s="111">
        <f>+'R. E. C  4'!M19</f>
        <v>0</v>
      </c>
    </row>
    <row r="33" spans="1:13" ht="15" customHeight="1" x14ac:dyDescent="0.25">
      <c r="A33" s="94">
        <v>5</v>
      </c>
      <c r="B33" s="359">
        <f>+'R. E. C  5'!F3</f>
        <v>0</v>
      </c>
      <c r="C33" s="360"/>
      <c r="D33" s="360"/>
      <c r="E33" s="360"/>
      <c r="F33" s="360"/>
      <c r="G33" s="360"/>
      <c r="H33" s="360" t="e">
        <f>+#REF!+(#REF!*G33)</f>
        <v>#REF!</v>
      </c>
      <c r="I33" s="360" t="str">
        <f>+IF(J33="Kilo",H33/1000,IF(J33="Huevo caja x 30",H33/30,IF(J33="Libra",H33/500,IF(J33="Litro",H33/1000,IF(J33="Galón",H33/3800,IF(J33="Onza",H33/30,IF(J33="Fco. 500 ml",H33/500,IF(J33="Fco. 200 ml",H33/200,IF(J33="Unidad",E33*$M$5," ")))))))))</f>
        <v xml:space="preserve"> </v>
      </c>
      <c r="J33" s="360"/>
      <c r="K33" s="361"/>
      <c r="L33" s="110">
        <f>+'R. E. C  5'!L19</f>
        <v>0</v>
      </c>
      <c r="M33" s="111">
        <f>+'R. E. C  5'!M19</f>
        <v>0</v>
      </c>
    </row>
    <row r="34" spans="1:13" ht="15" customHeight="1" x14ac:dyDescent="0.25">
      <c r="A34" s="135">
        <v>6</v>
      </c>
      <c r="B34" s="359">
        <f>+'R. E. C  6'!F3</f>
        <v>0</v>
      </c>
      <c r="C34" s="360"/>
      <c r="D34" s="360"/>
      <c r="E34" s="360"/>
      <c r="F34" s="360"/>
      <c r="G34" s="360"/>
      <c r="H34" s="360" t="e">
        <f>+#REF!+(#REF!*G34)</f>
        <v>#REF!</v>
      </c>
      <c r="I34" s="360" t="str">
        <f t="shared" ref="I34:I35" si="4">+IF(J34="Kilo",H34/1000,IF(J34="Huevo caja x 30",H34/30,IF(J34="Libra",H34/500,IF(J34="Litro",H34/1000,IF(J34="Galón",H34/3800,IF(J34="Onza",H34/30,IF(J34="Fco. 500 ml",H34/500,IF(J34="Fco. 200 ml",H34/200,IF(J34="Unidad",E34*$M$5," ")))))))))</f>
        <v xml:space="preserve"> </v>
      </c>
      <c r="J34" s="360"/>
      <c r="K34" s="361"/>
      <c r="L34" s="110">
        <f>+'R. E. C  6'!L19</f>
        <v>0</v>
      </c>
      <c r="M34" s="111">
        <f>+'R. E. C  6'!M19</f>
        <v>0</v>
      </c>
    </row>
    <row r="35" spans="1:13" ht="15" customHeight="1" x14ac:dyDescent="0.25">
      <c r="A35" s="135">
        <v>7</v>
      </c>
      <c r="B35" s="359">
        <f>+'R. E. C  7'!F3</f>
        <v>0</v>
      </c>
      <c r="C35" s="360"/>
      <c r="D35" s="360"/>
      <c r="E35" s="360"/>
      <c r="F35" s="360"/>
      <c r="G35" s="360"/>
      <c r="H35" s="360" t="e">
        <f>+#REF!+(#REF!*G35)</f>
        <v>#REF!</v>
      </c>
      <c r="I35" s="360" t="str">
        <f t="shared" si="4"/>
        <v xml:space="preserve"> </v>
      </c>
      <c r="J35" s="360"/>
      <c r="K35" s="361"/>
      <c r="L35" s="110">
        <f>+'R. E. C  7'!L19</f>
        <v>0</v>
      </c>
      <c r="M35" s="111">
        <f>+'R. E. C  7'!M19</f>
        <v>0</v>
      </c>
    </row>
    <row r="36" spans="1:13" ht="15.75" x14ac:dyDescent="0.25">
      <c r="A36" s="362" t="s">
        <v>143</v>
      </c>
      <c r="B36" s="363"/>
      <c r="C36" s="363"/>
      <c r="D36" s="363"/>
      <c r="E36" s="363"/>
      <c r="F36" s="363"/>
      <c r="G36" s="363"/>
      <c r="H36" s="363"/>
      <c r="I36" s="363"/>
      <c r="J36" s="363"/>
      <c r="K36" s="363"/>
      <c r="L36" s="112">
        <f>SUM(L29:L33)</f>
        <v>0</v>
      </c>
      <c r="M36" s="103">
        <f>SUM(M29:M33)</f>
        <v>0</v>
      </c>
    </row>
    <row r="37" spans="1:13" ht="15.75" x14ac:dyDescent="0.25">
      <c r="A37" s="356" t="s">
        <v>88</v>
      </c>
      <c r="B37" s="357"/>
      <c r="C37" s="357"/>
      <c r="D37" s="357"/>
      <c r="E37" s="357"/>
      <c r="F37" s="357"/>
      <c r="G37" s="357"/>
      <c r="H37" s="357"/>
      <c r="I37" s="357"/>
      <c r="J37" s="357"/>
      <c r="K37" s="357"/>
      <c r="L37" s="357"/>
      <c r="M37" s="358"/>
    </row>
    <row r="38" spans="1:13" x14ac:dyDescent="0.25">
      <c r="A38" s="344"/>
      <c r="B38" s="345"/>
      <c r="C38" s="345"/>
      <c r="D38" s="345"/>
      <c r="E38" s="345"/>
      <c r="F38" s="345"/>
      <c r="G38" s="345"/>
      <c r="H38" s="345"/>
      <c r="I38" s="345"/>
      <c r="J38" s="345"/>
      <c r="K38" s="345"/>
      <c r="L38" s="345"/>
      <c r="M38" s="346"/>
    </row>
    <row r="39" spans="1:13" ht="45" customHeight="1" x14ac:dyDescent="0.25">
      <c r="A39" s="347"/>
      <c r="B39" s="348"/>
      <c r="C39" s="348"/>
      <c r="D39" s="348"/>
      <c r="E39" s="348"/>
      <c r="F39" s="348"/>
      <c r="G39" s="348"/>
      <c r="H39" s="348"/>
      <c r="I39" s="348"/>
      <c r="J39" s="348"/>
      <c r="K39" s="348"/>
      <c r="L39" s="348"/>
      <c r="M39" s="349"/>
    </row>
    <row r="40" spans="1:13" x14ac:dyDescent="0.25">
      <c r="A40" s="381" t="s">
        <v>89</v>
      </c>
      <c r="B40" s="382"/>
      <c r="C40" s="382"/>
      <c r="D40" s="382"/>
      <c r="E40" s="382"/>
      <c r="F40" s="382"/>
      <c r="G40" s="383"/>
      <c r="H40" s="387" t="s">
        <v>90</v>
      </c>
      <c r="I40" s="388"/>
      <c r="J40" s="388"/>
      <c r="K40" s="388"/>
      <c r="L40" s="388"/>
      <c r="M40" s="389"/>
    </row>
    <row r="41" spans="1:13" ht="40.5" customHeight="1" x14ac:dyDescent="0.25">
      <c r="A41" s="384"/>
      <c r="B41" s="385"/>
      <c r="C41" s="385"/>
      <c r="D41" s="385"/>
      <c r="E41" s="385"/>
      <c r="F41" s="385"/>
      <c r="G41" s="386"/>
      <c r="H41" s="390"/>
      <c r="I41" s="385"/>
      <c r="J41" s="385"/>
      <c r="K41" s="385"/>
      <c r="L41" s="385"/>
      <c r="M41" s="391"/>
    </row>
    <row r="42" spans="1:13" x14ac:dyDescent="0.25">
      <c r="A42" s="381" t="s">
        <v>91</v>
      </c>
      <c r="B42" s="382"/>
      <c r="C42" s="382"/>
      <c r="D42" s="382"/>
      <c r="E42" s="382"/>
      <c r="F42" s="382"/>
      <c r="G42" s="383"/>
      <c r="H42" s="387"/>
      <c r="I42" s="388" t="s">
        <v>92</v>
      </c>
      <c r="J42" s="388"/>
      <c r="K42" s="388"/>
      <c r="L42" s="388"/>
      <c r="M42" s="389"/>
    </row>
    <row r="43" spans="1:13" ht="36.75" customHeight="1" x14ac:dyDescent="0.25">
      <c r="A43" s="384"/>
      <c r="B43" s="385"/>
      <c r="C43" s="385"/>
      <c r="D43" s="385"/>
      <c r="E43" s="385"/>
      <c r="F43" s="385"/>
      <c r="G43" s="386"/>
      <c r="H43" s="390"/>
      <c r="I43" s="385"/>
      <c r="J43" s="385"/>
      <c r="K43" s="385"/>
      <c r="L43" s="385"/>
      <c r="M43" s="391"/>
    </row>
    <row r="44" spans="1:13" ht="19.5" customHeight="1" x14ac:dyDescent="0.25">
      <c r="A44" s="381" t="s">
        <v>93</v>
      </c>
      <c r="B44" s="382"/>
      <c r="C44" s="382"/>
      <c r="D44" s="382"/>
      <c r="E44" s="382"/>
      <c r="F44" s="382"/>
      <c r="G44" s="382"/>
      <c r="H44" s="382"/>
      <c r="I44" s="382"/>
      <c r="J44" s="382"/>
      <c r="K44" s="382"/>
      <c r="L44" s="382"/>
      <c r="M44" s="392"/>
    </row>
    <row r="45" spans="1:13" x14ac:dyDescent="0.25">
      <c r="A45" s="344"/>
      <c r="B45" s="345"/>
      <c r="C45" s="345"/>
      <c r="D45" s="345"/>
      <c r="E45" s="345"/>
      <c r="F45" s="345"/>
      <c r="G45" s="345"/>
      <c r="H45" s="345"/>
      <c r="I45" s="345"/>
      <c r="J45" s="345"/>
      <c r="K45" s="345"/>
      <c r="L45" s="345"/>
      <c r="M45" s="346"/>
    </row>
    <row r="46" spans="1:13" ht="27" customHeight="1" x14ac:dyDescent="0.25">
      <c r="A46" s="347"/>
      <c r="B46" s="348"/>
      <c r="C46" s="348"/>
      <c r="D46" s="348"/>
      <c r="E46" s="348"/>
      <c r="F46" s="348"/>
      <c r="G46" s="348"/>
      <c r="H46" s="348"/>
      <c r="I46" s="348"/>
      <c r="J46" s="348"/>
      <c r="K46" s="348"/>
      <c r="L46" s="348"/>
      <c r="M46" s="349"/>
    </row>
    <row r="47" spans="1:13" ht="15.75" x14ac:dyDescent="0.25">
      <c r="A47" s="393" t="s">
        <v>94</v>
      </c>
      <c r="B47" s="394"/>
      <c r="C47" s="394"/>
      <c r="D47" s="394"/>
      <c r="E47" s="394"/>
      <c r="F47" s="394"/>
      <c r="G47" s="394"/>
      <c r="H47" s="394"/>
      <c r="I47" s="394"/>
      <c r="J47" s="394"/>
      <c r="K47" s="394"/>
      <c r="L47" s="394"/>
      <c r="M47" s="395"/>
    </row>
    <row r="48" spans="1:13" x14ac:dyDescent="0.25">
      <c r="A48" s="379" t="s">
        <v>95</v>
      </c>
      <c r="B48" s="380"/>
      <c r="C48" s="380"/>
      <c r="D48" s="380"/>
      <c r="E48" s="380"/>
      <c r="F48" s="380"/>
      <c r="G48" s="380"/>
      <c r="H48" s="380"/>
      <c r="I48" s="380"/>
      <c r="J48" s="380"/>
      <c r="K48" s="380"/>
      <c r="L48" s="380"/>
      <c r="M48" s="104">
        <f>+M27+M36</f>
        <v>21378301.754385967</v>
      </c>
    </row>
    <row r="49" spans="1:13" x14ac:dyDescent="0.25">
      <c r="A49" s="375" t="s">
        <v>124</v>
      </c>
      <c r="B49" s="324"/>
      <c r="C49" s="324"/>
      <c r="D49" s="324"/>
      <c r="E49" s="324"/>
      <c r="F49" s="324"/>
      <c r="G49" s="324"/>
      <c r="H49" s="324"/>
      <c r="I49" s="324"/>
      <c r="J49" s="324"/>
      <c r="K49" s="324"/>
      <c r="L49" s="106">
        <f>AVERAGE(G7:G25)</f>
        <v>0.95000000000000007</v>
      </c>
      <c r="M49" s="105">
        <f>+M48*L49</f>
        <v>20309386.666666672</v>
      </c>
    </row>
    <row r="50" spans="1:13" x14ac:dyDescent="0.25">
      <c r="A50" s="570" t="s">
        <v>119</v>
      </c>
      <c r="B50" s="571"/>
      <c r="C50" s="571"/>
      <c r="D50" s="571"/>
      <c r="E50" s="571"/>
      <c r="F50" s="571"/>
      <c r="G50" s="571"/>
      <c r="H50" s="571"/>
      <c r="I50" s="572"/>
      <c r="J50" s="574" t="s">
        <v>210</v>
      </c>
      <c r="K50" s="575"/>
      <c r="L50" s="573">
        <f>+M50/M4</f>
        <v>17815.251461988304</v>
      </c>
      <c r="M50" s="155">
        <f>+M48</f>
        <v>21378301.754385967</v>
      </c>
    </row>
    <row r="51" spans="1:13" x14ac:dyDescent="0.25">
      <c r="A51" s="364" t="s">
        <v>111</v>
      </c>
      <c r="B51" s="365"/>
      <c r="C51" s="365"/>
      <c r="D51" s="365"/>
      <c r="E51" s="365"/>
      <c r="F51" s="365"/>
      <c r="G51" s="365"/>
      <c r="H51" s="366"/>
      <c r="I51" s="576" t="s">
        <v>114</v>
      </c>
      <c r="J51" s="576"/>
      <c r="K51" s="576"/>
      <c r="L51" s="577">
        <f>+Resumen!G7</f>
        <v>5017.3029321666663</v>
      </c>
      <c r="M51" s="107">
        <f>+L51*M4</f>
        <v>6020763.5185999991</v>
      </c>
    </row>
    <row r="52" spans="1:13" x14ac:dyDescent="0.25">
      <c r="A52" s="95" t="s">
        <v>112</v>
      </c>
      <c r="B52" s="578"/>
      <c r="C52" s="578"/>
      <c r="D52" s="578"/>
      <c r="E52" s="578"/>
      <c r="F52" s="578"/>
      <c r="G52" s="578"/>
      <c r="H52" s="578"/>
      <c r="I52" s="576" t="s">
        <v>115</v>
      </c>
      <c r="J52" s="576"/>
      <c r="K52" s="576"/>
      <c r="L52" s="579">
        <f>+M52/M4</f>
        <v>1600</v>
      </c>
      <c r="M52" s="107">
        <f>+CIS!F16</f>
        <v>1920000</v>
      </c>
    </row>
    <row r="53" spans="1:13" ht="15.75" x14ac:dyDescent="0.25">
      <c r="A53" s="580" t="s">
        <v>113</v>
      </c>
      <c r="B53" s="581"/>
      <c r="C53" s="581"/>
      <c r="D53" s="581"/>
      <c r="E53" s="581"/>
      <c r="F53" s="581"/>
      <c r="G53" s="581"/>
      <c r="H53" s="581"/>
      <c r="I53" s="581"/>
      <c r="J53" s="581"/>
      <c r="K53" s="581"/>
      <c r="L53" s="582"/>
      <c r="M53" s="583">
        <f>+SUM(M50:M52)</f>
        <v>29319065.272985965</v>
      </c>
    </row>
    <row r="54" spans="1:13" x14ac:dyDescent="0.25">
      <c r="A54" s="376" t="s">
        <v>120</v>
      </c>
      <c r="B54" s="377"/>
      <c r="C54" s="377"/>
      <c r="D54" s="377"/>
      <c r="E54" s="377"/>
      <c r="F54" s="377"/>
      <c r="G54" s="377"/>
      <c r="H54" s="377"/>
      <c r="I54" s="377"/>
      <c r="J54" s="377"/>
      <c r="K54" s="377"/>
      <c r="L54" s="378"/>
      <c r="M54" s="108">
        <f>+M53/M4</f>
        <v>24432.554394154969</v>
      </c>
    </row>
    <row r="55" spans="1:13" ht="15.75" x14ac:dyDescent="0.25">
      <c r="A55" s="364" t="s">
        <v>116</v>
      </c>
      <c r="B55" s="365"/>
      <c r="C55" s="365"/>
      <c r="D55" s="365"/>
      <c r="E55" s="365"/>
      <c r="F55" s="365"/>
      <c r="G55" s="365"/>
      <c r="H55" s="365"/>
      <c r="I55" s="365"/>
      <c r="J55" s="365"/>
      <c r="K55" s="365"/>
      <c r="L55" s="366"/>
      <c r="M55" s="96">
        <v>0.4</v>
      </c>
    </row>
    <row r="56" spans="1:13" x14ac:dyDescent="0.25">
      <c r="A56" s="367" t="s">
        <v>97</v>
      </c>
      <c r="B56" s="368"/>
      <c r="C56" s="368"/>
      <c r="D56" s="368"/>
      <c r="E56" s="368"/>
      <c r="F56" s="368"/>
      <c r="G56" s="368"/>
      <c r="H56" s="368"/>
      <c r="I56" s="368"/>
      <c r="J56" s="368"/>
      <c r="K56" s="368"/>
      <c r="L56" s="368"/>
      <c r="M56" s="152">
        <f>M54/(1-M55)</f>
        <v>40720.923990258285</v>
      </c>
    </row>
    <row r="57" spans="1:13" x14ac:dyDescent="0.25">
      <c r="A57" s="369" t="s">
        <v>130</v>
      </c>
      <c r="B57" s="370"/>
      <c r="C57" s="370"/>
      <c r="D57" s="370"/>
      <c r="E57" s="370"/>
      <c r="F57" s="370"/>
      <c r="G57" s="370"/>
      <c r="H57" s="370"/>
      <c r="I57" s="370"/>
      <c r="J57" s="370"/>
      <c r="K57" s="371"/>
      <c r="L57" s="97">
        <v>0.08</v>
      </c>
      <c r="M57" s="150">
        <f>+M56*L57</f>
        <v>3257.6739192206628</v>
      </c>
    </row>
    <row r="58" spans="1:13" x14ac:dyDescent="0.25">
      <c r="A58" s="372" t="s">
        <v>133</v>
      </c>
      <c r="B58" s="373"/>
      <c r="C58" s="373"/>
      <c r="D58" s="373"/>
      <c r="E58" s="373"/>
      <c r="F58" s="373"/>
      <c r="G58" s="373"/>
      <c r="H58" s="373"/>
      <c r="I58" s="373"/>
      <c r="J58" s="373"/>
      <c r="K58" s="373"/>
      <c r="L58" s="374"/>
      <c r="M58" s="151">
        <f>(M56+M57)</f>
        <v>43978.597909478951</v>
      </c>
    </row>
    <row r="59" spans="1:13" ht="15" customHeight="1" x14ac:dyDescent="0.25">
      <c r="A59" s="312" t="s">
        <v>118</v>
      </c>
      <c r="B59" s="313"/>
      <c r="C59" s="313"/>
      <c r="D59" s="314"/>
      <c r="E59" s="315" t="s">
        <v>101</v>
      </c>
      <c r="F59" s="316"/>
      <c r="G59" s="316"/>
      <c r="H59" s="316"/>
      <c r="I59" s="316"/>
      <c r="J59" s="316"/>
      <c r="K59" s="316"/>
      <c r="L59" s="316"/>
      <c r="M59" s="317"/>
    </row>
    <row r="60" spans="1:13" ht="21" customHeight="1" x14ac:dyDescent="0.25">
      <c r="A60" s="318"/>
      <c r="B60" s="319"/>
      <c r="C60" s="319"/>
      <c r="D60" s="319"/>
      <c r="E60" s="324" t="s">
        <v>102</v>
      </c>
      <c r="F60" s="324"/>
      <c r="G60" s="324"/>
      <c r="H60" s="324"/>
      <c r="I60" s="324"/>
      <c r="J60" s="324"/>
      <c r="K60" s="324"/>
      <c r="L60" s="324"/>
      <c r="M60" s="109">
        <f>ROUND(M58,-3)</f>
        <v>44000</v>
      </c>
    </row>
    <row r="61" spans="1:13" ht="35.25" customHeight="1" x14ac:dyDescent="0.25">
      <c r="A61" s="318"/>
      <c r="B61" s="319"/>
      <c r="C61" s="319"/>
      <c r="D61" s="319"/>
      <c r="E61" s="324" t="s">
        <v>103</v>
      </c>
      <c r="F61" s="324"/>
      <c r="G61" s="324"/>
      <c r="H61" s="324"/>
      <c r="I61" s="324"/>
      <c r="J61" s="324"/>
      <c r="K61" s="324"/>
      <c r="L61" s="324"/>
      <c r="M61" s="109">
        <f>ROUND(M56,-3)</f>
        <v>41000</v>
      </c>
    </row>
    <row r="62" spans="1:13" ht="36" customHeight="1" x14ac:dyDescent="0.25">
      <c r="A62" s="318"/>
      <c r="B62" s="319"/>
      <c r="C62" s="319"/>
      <c r="D62" s="319"/>
      <c r="E62" s="324" t="s">
        <v>131</v>
      </c>
      <c r="F62" s="324"/>
      <c r="G62" s="324"/>
      <c r="H62" s="324"/>
      <c r="I62" s="324"/>
      <c r="J62" s="324"/>
      <c r="K62" s="324"/>
      <c r="L62" s="98">
        <v>0.08</v>
      </c>
      <c r="M62" s="109">
        <f>ROUND(M61*L62,-3)</f>
        <v>3000</v>
      </c>
    </row>
    <row r="63" spans="1:13" ht="35.25" customHeight="1" x14ac:dyDescent="0.25">
      <c r="A63" s="318"/>
      <c r="B63" s="319"/>
      <c r="C63" s="319"/>
      <c r="D63" s="319"/>
      <c r="E63" s="325" t="s">
        <v>105</v>
      </c>
      <c r="F63" s="325"/>
      <c r="G63" s="325"/>
      <c r="H63" s="325"/>
      <c r="I63" s="325"/>
      <c r="J63" s="325"/>
      <c r="K63" s="325"/>
      <c r="L63" s="325"/>
      <c r="M63" s="326"/>
    </row>
    <row r="64" spans="1:13" ht="15.75" thickBot="1" x14ac:dyDescent="0.3">
      <c r="A64" s="320"/>
      <c r="B64" s="321"/>
      <c r="C64" s="321"/>
      <c r="D64" s="321"/>
      <c r="E64" s="327" t="s">
        <v>140</v>
      </c>
      <c r="F64" s="327"/>
      <c r="G64" s="327"/>
      <c r="H64" s="327"/>
      <c r="I64" s="327"/>
      <c r="J64" s="327"/>
      <c r="K64" s="327"/>
      <c r="L64" s="327"/>
      <c r="M64" s="153">
        <f>+SUM(E7:E26,E29:E33)</f>
        <v>204</v>
      </c>
    </row>
    <row r="65" spans="1:13" ht="19.5" customHeight="1" thickBot="1" x14ac:dyDescent="0.3">
      <c r="A65" s="322"/>
      <c r="B65" s="323"/>
      <c r="C65" s="323"/>
      <c r="D65" s="323"/>
      <c r="E65" s="327" t="s">
        <v>106</v>
      </c>
      <c r="F65" s="327"/>
      <c r="G65" s="327"/>
      <c r="H65" s="327"/>
      <c r="I65" s="327"/>
      <c r="J65" s="327"/>
      <c r="K65" s="327"/>
      <c r="L65" s="327"/>
      <c r="M65" s="154">
        <f>+M50/M53</f>
        <v>0.72916041338069304</v>
      </c>
    </row>
  </sheetData>
  <mergeCells count="74">
    <mergeCell ref="B17:D17"/>
    <mergeCell ref="B18:D18"/>
    <mergeCell ref="B19:D19"/>
    <mergeCell ref="B20:D20"/>
    <mergeCell ref="B34:K34"/>
    <mergeCell ref="A48:L48"/>
    <mergeCell ref="A40:G40"/>
    <mergeCell ref="A41:G41"/>
    <mergeCell ref="H40:M40"/>
    <mergeCell ref="H41:M41"/>
    <mergeCell ref="A42:G42"/>
    <mergeCell ref="A43:G43"/>
    <mergeCell ref="H43:M43"/>
    <mergeCell ref="H42:M42"/>
    <mergeCell ref="A44:M44"/>
    <mergeCell ref="A45:M46"/>
    <mergeCell ref="A47:M47"/>
    <mergeCell ref="A55:L55"/>
    <mergeCell ref="A56:L56"/>
    <mergeCell ref="A57:K57"/>
    <mergeCell ref="A58:L58"/>
    <mergeCell ref="A49:K49"/>
    <mergeCell ref="I51:K51"/>
    <mergeCell ref="I52:K52"/>
    <mergeCell ref="A53:L53"/>
    <mergeCell ref="A51:H51"/>
    <mergeCell ref="A54:L54"/>
    <mergeCell ref="A50:I50"/>
    <mergeCell ref="J50:K50"/>
    <mergeCell ref="A38:M39"/>
    <mergeCell ref="B23:D23"/>
    <mergeCell ref="B24:D24"/>
    <mergeCell ref="B25:D25"/>
    <mergeCell ref="B26:D26"/>
    <mergeCell ref="A27:K27"/>
    <mergeCell ref="A28:M28"/>
    <mergeCell ref="A37:M37"/>
    <mergeCell ref="B29:K29"/>
    <mergeCell ref="B30:K30"/>
    <mergeCell ref="B33:K33"/>
    <mergeCell ref="A36:K36"/>
    <mergeCell ref="B31:K31"/>
    <mergeCell ref="B32:K32"/>
    <mergeCell ref="B35:K35"/>
    <mergeCell ref="B4:D4"/>
    <mergeCell ref="J4:K4"/>
    <mergeCell ref="B22:D22"/>
    <mergeCell ref="B6:D6"/>
    <mergeCell ref="B7:D7"/>
    <mergeCell ref="B8:D8"/>
    <mergeCell ref="B9:D9"/>
    <mergeCell ref="B10:D10"/>
    <mergeCell ref="B11:D11"/>
    <mergeCell ref="B12:D12"/>
    <mergeCell ref="B21:D21"/>
    <mergeCell ref="A5:M5"/>
    <mergeCell ref="B13:D13"/>
    <mergeCell ref="B14:D14"/>
    <mergeCell ref="B15:D15"/>
    <mergeCell ref="B16:D16"/>
    <mergeCell ref="A1:M1"/>
    <mergeCell ref="A2:M2"/>
    <mergeCell ref="A3:E3"/>
    <mergeCell ref="F3:J3"/>
    <mergeCell ref="K3:L3"/>
    <mergeCell ref="A59:D59"/>
    <mergeCell ref="E59:M59"/>
    <mergeCell ref="A60:D65"/>
    <mergeCell ref="E60:L60"/>
    <mergeCell ref="E62:K62"/>
    <mergeCell ref="E63:M63"/>
    <mergeCell ref="E64:L64"/>
    <mergeCell ref="E61:L61"/>
    <mergeCell ref="E65:L65"/>
  </mergeCells>
  <dataValidations count="4">
    <dataValidation type="list" allowBlank="1" showInputMessage="1" showErrorMessage="1" sqref="F7:F25 F30:F35" xr:uid="{00000000-0002-0000-0100-000000000000}">
      <formula1>"Grs, ml, cc, Oz, Lb, Kl, Unidad, Cant. suficiente"</formula1>
    </dataValidation>
    <dataValidation type="list" allowBlank="1" showInputMessage="1" showErrorMessage="1" sqref="J30:J35" xr:uid="{00000000-0002-0000-0100-000001000000}">
      <formula1>"Libra, Galón, Kilo, Huevo Canasta x 30, Arroba, Litro, Onza, Fco. 500 ml, Fco. 200 ml, Unidad, Fco. 500 cc"</formula1>
    </dataValidation>
    <dataValidation type="list" allowBlank="1" showInputMessage="1" showErrorMessage="1" sqref="J8:J26" xr:uid="{00000000-0002-0000-0100-000002000000}">
      <formula1>"Libra, Galón, Kilo, Arroba, Litro, Onza,Fco. 125 ml, Fco. 400 Grs, Fco. 200 Grs, Fco. 750 Ml, Fco. 500 ml, Fco. 200 ml, Unidad, Fco. 500 cc"</formula1>
    </dataValidation>
    <dataValidation type="list" allowBlank="1" showInputMessage="1" showErrorMessage="1" sqref="J7" xr:uid="{00000000-0002-0000-0100-000003000000}">
      <formula1>"Libra, Saco X 50 Kg, Galón, Kilo, Arroba, Caja x 30,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S19"/>
  <sheetViews>
    <sheetView zoomScale="70" zoomScaleNormal="7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5" width="10.42578125" style="20" customWidth="1"/>
    <col min="6" max="7" width="9" style="20" customWidth="1"/>
    <col min="8" max="8" width="14.7109375" style="20" bestFit="1" customWidth="1"/>
    <col min="9" max="9" width="16" style="20" bestFit="1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7" thickBot="1" x14ac:dyDescent="0.3">
      <c r="A1" s="297" t="s">
        <v>158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9"/>
    </row>
    <row r="2" spans="1:19" x14ac:dyDescent="0.25">
      <c r="A2" s="396" t="s">
        <v>141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</row>
    <row r="3" spans="1:19" ht="25.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thickBot="1" x14ac:dyDescent="0.3">
      <c r="A4" s="85" t="s">
        <v>64</v>
      </c>
      <c r="B4" s="336"/>
      <c r="C4" s="336"/>
      <c r="D4" s="336"/>
      <c r="E4" s="81" t="s">
        <v>61</v>
      </c>
      <c r="F4" s="133"/>
      <c r="G4" s="82" t="s">
        <v>62</v>
      </c>
      <c r="H4" s="130"/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1" t="s">
        <v>67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3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mergeCells count="22">
    <mergeCell ref="B15:D15"/>
    <mergeCell ref="B16:D16"/>
    <mergeCell ref="B17:D17"/>
    <mergeCell ref="B18:D18"/>
    <mergeCell ref="A19:K19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4:D4"/>
    <mergeCell ref="J4:K4"/>
    <mergeCell ref="A1:M1"/>
    <mergeCell ref="A2:M2"/>
    <mergeCell ref="A3:E3"/>
    <mergeCell ref="F3:J3"/>
    <mergeCell ref="K3:L3"/>
  </mergeCells>
  <dataValidations count="2">
    <dataValidation type="list" allowBlank="1" showInputMessage="1" showErrorMessage="1" sqref="F7:F17" xr:uid="{00000000-0002-0000-0200-000000000000}">
      <formula1>"Grs, ml, cc, Oz, Lb, Kl, Unidad, Cant. suficiente"</formula1>
    </dataValidation>
    <dataValidation type="list" allowBlank="1" showInputMessage="1" showErrorMessage="1" sqref="J7:J18" xr:uid="{00000000-0002-0000-0200-000001000000}">
      <formula1>"Libra, Galón, Kilo, Arroba, Litro, Onza,Fco. 125 ml, Fco. 400 Grs, Fco. 200 Grs, Fco. 750 Ml, Fco. 500 ml, Fco. 200 ml, Unidad, Fco. 500 cc"</formula1>
    </dataValidation>
  </dataValidations>
  <pageMargins left="1.17" right="0.52" top="1" bottom="0.87" header="0.31496062992125984" footer="0.31496062992125984"/>
  <pageSetup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  <pageSetUpPr fitToPage="1"/>
  </sheetPr>
  <dimension ref="A1:S19"/>
  <sheetViews>
    <sheetView zoomScaleNormal="10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.710937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7" thickBot="1" x14ac:dyDescent="0.3">
      <c r="A1" s="297" t="s">
        <v>158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9"/>
    </row>
    <row r="2" spans="1:19" ht="15.75" thickBot="1" x14ac:dyDescent="0.3">
      <c r="A2" s="300" t="s">
        <v>139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2"/>
    </row>
    <row r="3" spans="1:19" ht="15.7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thickBot="1" x14ac:dyDescent="0.3">
      <c r="A4" s="85" t="s">
        <v>64</v>
      </c>
      <c r="B4" s="336"/>
      <c r="C4" s="336"/>
      <c r="D4" s="336"/>
      <c r="E4" s="81" t="s">
        <v>61</v>
      </c>
      <c r="F4" s="132"/>
      <c r="G4" s="82" t="s">
        <v>62</v>
      </c>
      <c r="H4" s="130">
        <v>454</v>
      </c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1" t="s">
        <v>67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3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mergeCells count="22">
    <mergeCell ref="B15:D15"/>
    <mergeCell ref="B16:D16"/>
    <mergeCell ref="B17:D17"/>
    <mergeCell ref="B18:D18"/>
    <mergeCell ref="A19:K19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A1:M1"/>
    <mergeCell ref="A2:M2"/>
    <mergeCell ref="A3:E3"/>
    <mergeCell ref="F3:J3"/>
    <mergeCell ref="K3:L3"/>
  </mergeCells>
  <dataValidations count="2">
    <dataValidation type="list" allowBlank="1" showInputMessage="1" showErrorMessage="1" sqref="F7:F17" xr:uid="{00000000-0002-0000-0300-000000000000}">
      <formula1>"Grs, ml, cc, Oz, Lb, Kl, Unidad, Cant. suficiente"</formula1>
    </dataValidation>
    <dataValidation type="list" allowBlank="1" showInputMessage="1" showErrorMessage="1" sqref="J7:J18" xr:uid="{00000000-0002-0000-0300-000001000000}">
      <formula1>"Libra, Galón, Kilo, Arroba,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  <pageSetUpPr fitToPage="1"/>
  </sheetPr>
  <dimension ref="A1:S19"/>
  <sheetViews>
    <sheetView topLeftCell="A3" zoomScaleNormal="10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.8554687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7" thickBot="1" x14ac:dyDescent="0.3">
      <c r="A1" s="297" t="s">
        <v>158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9"/>
    </row>
    <row r="2" spans="1:19" ht="15.75" thickBot="1" x14ac:dyDescent="0.3">
      <c r="A2" s="300" t="s">
        <v>139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2"/>
    </row>
    <row r="3" spans="1:19" ht="15.7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thickBot="1" x14ac:dyDescent="0.3">
      <c r="A4" s="85" t="s">
        <v>64</v>
      </c>
      <c r="B4" s="336"/>
      <c r="C4" s="336"/>
      <c r="D4" s="336"/>
      <c r="E4" s="81" t="s">
        <v>61</v>
      </c>
      <c r="F4" s="132"/>
      <c r="G4" s="82" t="s">
        <v>62</v>
      </c>
      <c r="H4" s="130"/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1" t="s">
        <v>67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3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mergeCells count="22">
    <mergeCell ref="B15:D15"/>
    <mergeCell ref="B16:D16"/>
    <mergeCell ref="B17:D17"/>
    <mergeCell ref="B18:D18"/>
    <mergeCell ref="A19:K19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A1:M1"/>
    <mergeCell ref="A2:M2"/>
    <mergeCell ref="A3:E3"/>
    <mergeCell ref="F3:J3"/>
    <mergeCell ref="K3:L3"/>
  </mergeCells>
  <dataValidations count="2">
    <dataValidation type="list" allowBlank="1" showInputMessage="1" showErrorMessage="1" sqref="F7:F17" xr:uid="{00000000-0002-0000-0400-000000000000}">
      <formula1>"Grs, ml, cc, Oz, Lb, Kl, Unidad, Cant. suficiente"</formula1>
    </dataValidation>
    <dataValidation type="list" allowBlank="1" showInputMessage="1" showErrorMessage="1" sqref="J7:J18" xr:uid="{00000000-0002-0000-04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  <pageSetUpPr fitToPage="1"/>
  </sheetPr>
  <dimension ref="A1:S19"/>
  <sheetViews>
    <sheetView zoomScaleNormal="10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.570312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05" t="s">
        <v>158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5"/>
    </row>
    <row r="2" spans="1:19" x14ac:dyDescent="0.25">
      <c r="A2" s="406" t="s">
        <v>139</v>
      </c>
      <c r="B2" s="406"/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</row>
    <row r="3" spans="1:19" ht="1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x14ac:dyDescent="0.25">
      <c r="A4" s="85" t="s">
        <v>64</v>
      </c>
      <c r="B4" s="336"/>
      <c r="C4" s="336"/>
      <c r="D4" s="336"/>
      <c r="E4" s="81" t="s">
        <v>61</v>
      </c>
      <c r="F4" s="132"/>
      <c r="G4" s="82" t="s">
        <v>62</v>
      </c>
      <c r="H4" s="130"/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7" t="s">
        <v>67</v>
      </c>
      <c r="B5" s="408"/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9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mergeCells count="22">
    <mergeCell ref="B15:D15"/>
    <mergeCell ref="B16:D16"/>
    <mergeCell ref="B17:D17"/>
    <mergeCell ref="B18:D18"/>
    <mergeCell ref="A19:K19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A1:M1"/>
    <mergeCell ref="A2:M2"/>
    <mergeCell ref="A3:E3"/>
    <mergeCell ref="F3:J3"/>
    <mergeCell ref="K3:L3"/>
  </mergeCells>
  <dataValidations count="2">
    <dataValidation type="list" allowBlank="1" showInputMessage="1" showErrorMessage="1" sqref="F7:F17" xr:uid="{00000000-0002-0000-0500-000000000000}">
      <formula1>"Grs, ml, cc, Oz, Lb, Kl, Unidad, Cant. suficiente"</formula1>
    </dataValidation>
    <dataValidation type="list" allowBlank="1" showInputMessage="1" showErrorMessage="1" sqref="J7:J18" xr:uid="{00000000-0002-0000-05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  <pageSetUpPr fitToPage="1"/>
  </sheetPr>
  <dimension ref="A1:S19"/>
  <sheetViews>
    <sheetView topLeftCell="A2" zoomScaleNormal="100" workbookViewId="0">
      <selection activeCell="F3" sqref="F3:J3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0.2851562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05" t="s">
        <v>158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5"/>
    </row>
    <row r="2" spans="1:19" x14ac:dyDescent="0.25">
      <c r="A2" s="406" t="s">
        <v>139</v>
      </c>
      <c r="B2" s="406"/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</row>
    <row r="3" spans="1:19" ht="1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x14ac:dyDescent="0.25">
      <c r="A4" s="85" t="s">
        <v>64</v>
      </c>
      <c r="B4" s="336"/>
      <c r="C4" s="336"/>
      <c r="D4" s="336"/>
      <c r="E4" s="81" t="s">
        <v>61</v>
      </c>
      <c r="F4" s="132"/>
      <c r="G4" s="82" t="s">
        <v>62</v>
      </c>
      <c r="H4" s="130"/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7" t="s">
        <v>67</v>
      </c>
      <c r="B5" s="408"/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9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69</v>
      </c>
      <c r="F6" s="79" t="s">
        <v>70</v>
      </c>
      <c r="G6" s="79" t="s">
        <v>125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$M$4*E7*((G7)+1)</f>
        <v>0</v>
      </c>
      <c r="I7" s="134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1">$M$4*E8*((G8)+1)</f>
        <v>0</v>
      </c>
      <c r="I8" s="134" t="str">
        <f t="shared" si="0"/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1"/>
        <v>0</v>
      </c>
      <c r="I9" s="134" t="str">
        <f t="shared" si="0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1"/>
        <v>0</v>
      </c>
      <c r="I10" s="134" t="str">
        <f t="shared" si="0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1"/>
        <v>0</v>
      </c>
      <c r="I11" s="134" t="str">
        <f t="shared" si="0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1"/>
        <v>0</v>
      </c>
      <c r="I12" s="134" t="str">
        <f t="shared" si="0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1"/>
        <v>0</v>
      </c>
      <c r="I13" s="134" t="str">
        <f t="shared" si="0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1"/>
        <v>0</v>
      </c>
      <c r="I14" s="134" t="str">
        <f t="shared" si="0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1"/>
        <v>0</v>
      </c>
      <c r="I15" s="134" t="str">
        <f t="shared" si="0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1"/>
        <v>0</v>
      </c>
      <c r="I16" s="134" t="str">
        <f t="shared" si="0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1"/>
        <v>0</v>
      </c>
      <c r="I17" s="134" t="str">
        <f t="shared" si="0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1"/>
        <v>0</v>
      </c>
      <c r="I18" s="134" t="str">
        <f t="shared" si="0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sheetProtection sheet="1" objects="1" scenarios="1"/>
  <mergeCells count="22"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</mergeCells>
  <dataValidations count="2">
    <dataValidation type="list" allowBlank="1" showInputMessage="1" showErrorMessage="1" sqref="F7:F17" xr:uid="{00000000-0002-0000-0600-000000000000}">
      <formula1>"Grs, ml, cc, Oz, Lb, Kl, Unidad, Cant. suficiente"</formula1>
    </dataValidation>
    <dataValidation type="list" allowBlank="1" showInputMessage="1" showErrorMessage="1" sqref="J7:J18" xr:uid="{00000000-0002-0000-06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  <pageSetUpPr fitToPage="1"/>
  </sheetPr>
  <dimension ref="A1:S19"/>
  <sheetViews>
    <sheetView zoomScaleNormal="100" workbookViewId="0">
      <selection activeCell="F3" sqref="F3:J3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0.2851562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05" t="s">
        <v>158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5"/>
    </row>
    <row r="2" spans="1:19" x14ac:dyDescent="0.25">
      <c r="A2" s="406" t="s">
        <v>139</v>
      </c>
      <c r="B2" s="406"/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</row>
    <row r="3" spans="1:19" ht="1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x14ac:dyDescent="0.25">
      <c r="A4" s="85" t="s">
        <v>64</v>
      </c>
      <c r="B4" s="336"/>
      <c r="C4" s="336"/>
      <c r="D4" s="336"/>
      <c r="E4" s="81" t="s">
        <v>61</v>
      </c>
      <c r="F4" s="132"/>
      <c r="G4" s="82" t="s">
        <v>62</v>
      </c>
      <c r="H4" s="130"/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7" t="s">
        <v>67</v>
      </c>
      <c r="B5" s="408"/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9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69</v>
      </c>
      <c r="F6" s="79" t="s">
        <v>70</v>
      </c>
      <c r="G6" s="79" t="s">
        <v>125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$M$4*E7*((G7)+1)</f>
        <v>0</v>
      </c>
      <c r="I7" s="134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1">$M$4*E8*((G8)+1)</f>
        <v>0</v>
      </c>
      <c r="I8" s="134" t="str">
        <f t="shared" si="0"/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1"/>
        <v>0</v>
      </c>
      <c r="I9" s="134" t="str">
        <f t="shared" si="0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1"/>
        <v>0</v>
      </c>
      <c r="I10" s="134" t="str">
        <f t="shared" si="0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1"/>
        <v>0</v>
      </c>
      <c r="I11" s="134" t="str">
        <f t="shared" si="0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1"/>
        <v>0</v>
      </c>
      <c r="I12" s="134" t="str">
        <f t="shared" si="0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1"/>
        <v>0</v>
      </c>
      <c r="I13" s="134" t="str">
        <f t="shared" si="0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1"/>
        <v>0</v>
      </c>
      <c r="I14" s="134" t="str">
        <f t="shared" si="0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1"/>
        <v>0</v>
      </c>
      <c r="I15" s="134" t="str">
        <f t="shared" si="0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1"/>
        <v>0</v>
      </c>
      <c r="I16" s="134" t="str">
        <f t="shared" si="0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1"/>
        <v>0</v>
      </c>
      <c r="I17" s="134" t="str">
        <f t="shared" si="0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1"/>
        <v>0</v>
      </c>
      <c r="I18" s="134" t="str">
        <f t="shared" si="0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sheetProtection sheet="1" objects="1" scenarios="1"/>
  <mergeCells count="22"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</mergeCells>
  <dataValidations count="2">
    <dataValidation type="list" allowBlank="1" showInputMessage="1" showErrorMessage="1" sqref="F7:F17" xr:uid="{00000000-0002-0000-0700-000000000000}">
      <formula1>"Grs, ml, cc, Oz, Lb, Kl, Unidad, Cant. suficiente"</formula1>
    </dataValidation>
    <dataValidation type="list" allowBlank="1" showInputMessage="1" showErrorMessage="1" sqref="J7:J18" xr:uid="{00000000-0002-0000-07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  <pageSetUpPr fitToPage="1"/>
  </sheetPr>
  <dimension ref="A1:S19"/>
  <sheetViews>
    <sheetView zoomScale="60" zoomScaleNormal="60" workbookViewId="0">
      <selection activeCell="F3" sqref="F3:J3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05" t="s">
        <v>158</v>
      </c>
      <c r="B1" s="405"/>
      <c r="C1" s="405"/>
      <c r="D1" s="405"/>
      <c r="E1" s="405"/>
      <c r="F1" s="405"/>
      <c r="G1" s="405"/>
      <c r="H1" s="405"/>
      <c r="I1" s="405"/>
      <c r="J1" s="405"/>
      <c r="K1" s="405"/>
      <c r="L1" s="405"/>
      <c r="M1" s="405"/>
    </row>
    <row r="2" spans="1:19" x14ac:dyDescent="0.25">
      <c r="A2" s="406" t="s">
        <v>139</v>
      </c>
      <c r="B2" s="406"/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</row>
    <row r="3" spans="1:19" ht="15" customHeight="1" x14ac:dyDescent="0.25">
      <c r="A3" s="397" t="s">
        <v>59</v>
      </c>
      <c r="B3" s="397"/>
      <c r="C3" s="397"/>
      <c r="D3" s="397"/>
      <c r="E3" s="397"/>
      <c r="F3" s="398"/>
      <c r="G3" s="399"/>
      <c r="H3" s="399"/>
      <c r="I3" s="399"/>
      <c r="J3" s="399"/>
      <c r="K3" s="400" t="s">
        <v>142</v>
      </c>
      <c r="L3" s="400"/>
      <c r="M3" s="131" t="s">
        <v>157</v>
      </c>
    </row>
    <row r="4" spans="1:19" ht="25.5" customHeight="1" x14ac:dyDescent="0.25">
      <c r="A4" s="85" t="s">
        <v>64</v>
      </c>
      <c r="B4" s="336"/>
      <c r="C4" s="336"/>
      <c r="D4" s="336"/>
      <c r="E4" s="81" t="s">
        <v>61</v>
      </c>
      <c r="F4" s="132"/>
      <c r="G4" s="82" t="s">
        <v>62</v>
      </c>
      <c r="H4" s="130"/>
      <c r="I4" s="83" t="s">
        <v>65</v>
      </c>
      <c r="J4" s="337"/>
      <c r="K4" s="338"/>
      <c r="L4" s="86" t="s">
        <v>122</v>
      </c>
      <c r="M4" s="84">
        <f>+'Receta Estandar Principal'!M4</f>
        <v>1200</v>
      </c>
    </row>
    <row r="5" spans="1:19" ht="15.75" thickBot="1" x14ac:dyDescent="0.3">
      <c r="A5" s="407" t="s">
        <v>67</v>
      </c>
      <c r="B5" s="408"/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9"/>
    </row>
    <row r="6" spans="1:19" ht="74.25" customHeight="1" x14ac:dyDescent="0.25">
      <c r="A6" s="72" t="s">
        <v>84</v>
      </c>
      <c r="B6" s="404" t="s">
        <v>68</v>
      </c>
      <c r="C6" s="404"/>
      <c r="D6" s="404"/>
      <c r="E6" s="79" t="s">
        <v>165</v>
      </c>
      <c r="F6" s="79" t="s">
        <v>70</v>
      </c>
      <c r="G6" s="79" t="s">
        <v>161</v>
      </c>
      <c r="H6" s="79" t="s">
        <v>162</v>
      </c>
      <c r="I6" s="79" t="s">
        <v>163</v>
      </c>
      <c r="J6" s="79" t="s">
        <v>123</v>
      </c>
      <c r="K6" s="79" t="s">
        <v>164</v>
      </c>
      <c r="L6" s="79" t="s">
        <v>73</v>
      </c>
      <c r="M6" s="73" t="s">
        <v>160</v>
      </c>
      <c r="Q6" s="62"/>
      <c r="S6" s="61"/>
    </row>
    <row r="7" spans="1:19" ht="24.95" customHeight="1" x14ac:dyDescent="0.25">
      <c r="A7" s="87">
        <v>1</v>
      </c>
      <c r="B7" s="339"/>
      <c r="C7" s="339"/>
      <c r="D7" s="339"/>
      <c r="E7" s="88"/>
      <c r="F7" s="89"/>
      <c r="G7" s="90"/>
      <c r="H7" s="99">
        <f>$M$4*E7*((G7)+1)</f>
        <v>0</v>
      </c>
      <c r="I7" s="134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39"/>
      <c r="C8" s="339"/>
      <c r="D8" s="339"/>
      <c r="E8" s="88"/>
      <c r="F8" s="89"/>
      <c r="G8" s="90"/>
      <c r="H8" s="99">
        <f t="shared" ref="H8:H18" si="1">$M$4*E8*((G8)+1)</f>
        <v>0</v>
      </c>
      <c r="I8" s="134" t="str">
        <f t="shared" si="0"/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39"/>
      <c r="C9" s="339"/>
      <c r="D9" s="339"/>
      <c r="E9" s="88"/>
      <c r="F9" s="89"/>
      <c r="G9" s="90"/>
      <c r="H9" s="99">
        <f t="shared" si="1"/>
        <v>0</v>
      </c>
      <c r="I9" s="134" t="str">
        <f t="shared" si="0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39"/>
      <c r="C10" s="339"/>
      <c r="D10" s="339"/>
      <c r="E10" s="88"/>
      <c r="F10" s="89"/>
      <c r="G10" s="90"/>
      <c r="H10" s="99">
        <f t="shared" si="1"/>
        <v>0</v>
      </c>
      <c r="I10" s="134" t="str">
        <f t="shared" si="0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39"/>
      <c r="C11" s="339"/>
      <c r="D11" s="339"/>
      <c r="E11" s="88"/>
      <c r="F11" s="89"/>
      <c r="G11" s="90"/>
      <c r="H11" s="99">
        <f t="shared" si="1"/>
        <v>0</v>
      </c>
      <c r="I11" s="134" t="str">
        <f t="shared" si="0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39"/>
      <c r="C12" s="339"/>
      <c r="D12" s="339"/>
      <c r="E12" s="88"/>
      <c r="F12" s="89"/>
      <c r="G12" s="90"/>
      <c r="H12" s="99">
        <f t="shared" si="1"/>
        <v>0</v>
      </c>
      <c r="I12" s="134" t="str">
        <f t="shared" si="0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39"/>
      <c r="C13" s="339"/>
      <c r="D13" s="339"/>
      <c r="E13" s="88"/>
      <c r="F13" s="89"/>
      <c r="G13" s="90"/>
      <c r="H13" s="99">
        <f t="shared" si="1"/>
        <v>0</v>
      </c>
      <c r="I13" s="134" t="str">
        <f t="shared" si="0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39"/>
      <c r="C14" s="339"/>
      <c r="D14" s="339"/>
      <c r="E14" s="88"/>
      <c r="F14" s="89"/>
      <c r="G14" s="90"/>
      <c r="H14" s="99">
        <f t="shared" si="1"/>
        <v>0</v>
      </c>
      <c r="I14" s="134" t="str">
        <f t="shared" si="0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39"/>
      <c r="C15" s="339"/>
      <c r="D15" s="339"/>
      <c r="E15" s="88"/>
      <c r="F15" s="89"/>
      <c r="G15" s="90"/>
      <c r="H15" s="99">
        <f t="shared" si="1"/>
        <v>0</v>
      </c>
      <c r="I15" s="134" t="str">
        <f t="shared" si="0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39"/>
      <c r="C16" s="339"/>
      <c r="D16" s="339"/>
      <c r="E16" s="88"/>
      <c r="F16" s="89"/>
      <c r="G16" s="90"/>
      <c r="H16" s="99">
        <f t="shared" si="1"/>
        <v>0</v>
      </c>
      <c r="I16" s="134" t="str">
        <f t="shared" si="0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39"/>
      <c r="C17" s="339"/>
      <c r="D17" s="339"/>
      <c r="E17" s="89"/>
      <c r="F17" s="89"/>
      <c r="G17" s="90"/>
      <c r="H17" s="99">
        <f t="shared" si="1"/>
        <v>0</v>
      </c>
      <c r="I17" s="134" t="str">
        <f t="shared" si="0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39"/>
      <c r="C18" s="339"/>
      <c r="D18" s="339"/>
      <c r="E18" s="89"/>
      <c r="F18" s="89"/>
      <c r="G18" s="90"/>
      <c r="H18" s="99">
        <f t="shared" si="1"/>
        <v>0</v>
      </c>
      <c r="I18" s="134" t="str">
        <f t="shared" si="0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50" t="s">
        <v>83</v>
      </c>
      <c r="B19" s="351"/>
      <c r="C19" s="351"/>
      <c r="D19" s="351"/>
      <c r="E19" s="351"/>
      <c r="F19" s="351"/>
      <c r="G19" s="351"/>
      <c r="H19" s="351"/>
      <c r="I19" s="351"/>
      <c r="J19" s="351"/>
      <c r="K19" s="351"/>
      <c r="L19" s="113">
        <f>SUM(L7:L18)</f>
        <v>0</v>
      </c>
      <c r="M19" s="102">
        <f>SUM(M7:M18)</f>
        <v>0</v>
      </c>
    </row>
  </sheetData>
  <sheetProtection sheet="1" objects="1" scenarios="1"/>
  <mergeCells count="22"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</mergeCells>
  <dataValidations count="2">
    <dataValidation type="list" allowBlank="1" showInputMessage="1" showErrorMessage="1" sqref="F7:F17" xr:uid="{00000000-0002-0000-0800-000000000000}">
      <formula1>"Grs, ml, cc, Oz, Lb, Kl, Unidad, Cant. suficiente"</formula1>
    </dataValidation>
    <dataValidation type="list" allowBlank="1" showInputMessage="1" showErrorMessage="1" sqref="J7:J18" xr:uid="{00000000-0002-0000-08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3"/>
  <sheetViews>
    <sheetView tabSelected="1" zoomScaleNormal="100" workbookViewId="0">
      <selection activeCell="I8" sqref="I8"/>
    </sheetView>
  </sheetViews>
  <sheetFormatPr baseColWidth="10" defaultColWidth="11.42578125" defaultRowHeight="15" x14ac:dyDescent="0.25"/>
  <cols>
    <col min="1" max="1" width="14.42578125" style="12" customWidth="1"/>
    <col min="2" max="2" width="22.42578125" style="12" customWidth="1"/>
    <col min="3" max="3" width="16.5703125" style="12" bestFit="1" customWidth="1"/>
    <col min="4" max="4" width="13.5703125" style="12" customWidth="1"/>
    <col min="5" max="5" width="9.28515625" style="12" customWidth="1"/>
    <col min="6" max="6" width="11.42578125" style="12"/>
    <col min="7" max="7" width="16.85546875" style="12" customWidth="1"/>
    <col min="8" max="16384" width="11.42578125" style="12"/>
  </cols>
  <sheetData>
    <row r="1" spans="1:10" x14ac:dyDescent="0.25">
      <c r="A1" s="423" t="s">
        <v>3</v>
      </c>
      <c r="B1" s="424"/>
      <c r="C1" s="424"/>
      <c r="D1" s="424"/>
      <c r="E1" s="424"/>
      <c r="F1" s="424"/>
      <c r="G1" s="425"/>
    </row>
    <row r="2" spans="1:10" x14ac:dyDescent="0.25">
      <c r="A2" s="426"/>
      <c r="B2" s="427"/>
      <c r="C2" s="427"/>
      <c r="D2" s="427"/>
      <c r="E2" s="427"/>
      <c r="F2" s="427"/>
      <c r="G2" s="428"/>
    </row>
    <row r="3" spans="1:10" ht="75" x14ac:dyDescent="0.25">
      <c r="A3" s="429" t="s">
        <v>4</v>
      </c>
      <c r="B3" s="434" t="s">
        <v>5</v>
      </c>
      <c r="C3" s="434" t="s">
        <v>6</v>
      </c>
      <c r="D3" s="163" t="s">
        <v>7</v>
      </c>
      <c r="E3" s="164" t="s">
        <v>145</v>
      </c>
      <c r="F3" s="434" t="s">
        <v>8</v>
      </c>
      <c r="G3" s="434" t="s">
        <v>9</v>
      </c>
    </row>
    <row r="4" spans="1:10" ht="18.75" x14ac:dyDescent="0.25">
      <c r="A4" s="429"/>
      <c r="B4" s="435"/>
      <c r="C4" s="435"/>
      <c r="D4" s="165">
        <f>+C32</f>
        <v>249095</v>
      </c>
      <c r="E4" s="164">
        <f>+C33</f>
        <v>220</v>
      </c>
      <c r="F4" s="435"/>
      <c r="G4" s="435"/>
    </row>
    <row r="5" spans="1:10" x14ac:dyDescent="0.25">
      <c r="A5" s="429"/>
      <c r="B5" s="1" t="s">
        <v>146</v>
      </c>
      <c r="C5" s="17">
        <v>1750905</v>
      </c>
      <c r="D5" s="80">
        <f>+IF(C5&lt;$C$31*2,$D$4/220*E5,0)</f>
        <v>249095</v>
      </c>
      <c r="E5" s="17">
        <f>+$E$4</f>
        <v>220</v>
      </c>
      <c r="F5" s="80">
        <f t="shared" ref="F5:F11" si="0">+C5/$E$4*E5</f>
        <v>1750905</v>
      </c>
      <c r="G5" s="80">
        <f>+D5+F5</f>
        <v>2000000</v>
      </c>
    </row>
    <row r="6" spans="1:10" x14ac:dyDescent="0.25">
      <c r="A6" s="429"/>
      <c r="B6" s="1" t="s">
        <v>147</v>
      </c>
      <c r="C6" s="17">
        <v>1750905</v>
      </c>
      <c r="D6" s="80">
        <f t="shared" ref="D6:D11" si="1">+IF(C6&lt;$C$31*2,$D$4/220*E6,0)</f>
        <v>249095</v>
      </c>
      <c r="E6" s="17">
        <f>+$E$4</f>
        <v>220</v>
      </c>
      <c r="F6" s="80">
        <f t="shared" si="0"/>
        <v>1750905</v>
      </c>
      <c r="G6" s="80">
        <f t="shared" ref="G6:G11" si="2">+D6+F6</f>
        <v>2000000</v>
      </c>
      <c r="J6" s="16"/>
    </row>
    <row r="7" spans="1:10" x14ac:dyDescent="0.25">
      <c r="A7" s="429"/>
      <c r="B7" s="1"/>
      <c r="C7" s="17"/>
      <c r="D7" s="80">
        <f t="shared" si="1"/>
        <v>0</v>
      </c>
      <c r="E7" s="17"/>
      <c r="F7" s="80">
        <f t="shared" si="0"/>
        <v>0</v>
      </c>
      <c r="G7" s="80">
        <f t="shared" si="2"/>
        <v>0</v>
      </c>
    </row>
    <row r="8" spans="1:10" x14ac:dyDescent="0.25">
      <c r="A8" s="429"/>
      <c r="B8" s="1"/>
      <c r="C8" s="17"/>
      <c r="D8" s="80">
        <f t="shared" si="1"/>
        <v>0</v>
      </c>
      <c r="E8" s="17"/>
      <c r="F8" s="80">
        <f t="shared" si="0"/>
        <v>0</v>
      </c>
      <c r="G8" s="80">
        <f t="shared" si="2"/>
        <v>0</v>
      </c>
    </row>
    <row r="9" spans="1:10" x14ac:dyDescent="0.25">
      <c r="A9" s="429"/>
      <c r="B9" s="1"/>
      <c r="C9" s="17"/>
      <c r="D9" s="80">
        <f t="shared" si="1"/>
        <v>0</v>
      </c>
      <c r="E9" s="17"/>
      <c r="F9" s="80">
        <f t="shared" si="0"/>
        <v>0</v>
      </c>
      <c r="G9" s="80">
        <f t="shared" si="2"/>
        <v>0</v>
      </c>
    </row>
    <row r="10" spans="1:10" x14ac:dyDescent="0.25">
      <c r="A10" s="429"/>
      <c r="B10" s="1"/>
      <c r="C10" s="17"/>
      <c r="D10" s="80">
        <f t="shared" si="1"/>
        <v>0</v>
      </c>
      <c r="E10" s="17"/>
      <c r="F10" s="80">
        <f t="shared" si="0"/>
        <v>0</v>
      </c>
      <c r="G10" s="80">
        <f t="shared" si="2"/>
        <v>0</v>
      </c>
    </row>
    <row r="11" spans="1:10" x14ac:dyDescent="0.25">
      <c r="A11" s="429"/>
      <c r="B11" s="1"/>
      <c r="C11" s="17"/>
      <c r="D11" s="80">
        <f t="shared" si="1"/>
        <v>0</v>
      </c>
      <c r="E11" s="17"/>
      <c r="F11" s="80">
        <f t="shared" si="0"/>
        <v>0</v>
      </c>
      <c r="G11" s="80">
        <f t="shared" si="2"/>
        <v>0</v>
      </c>
    </row>
    <row r="12" spans="1:10" ht="18.75" x14ac:dyDescent="0.3">
      <c r="A12" s="429"/>
      <c r="B12" s="9" t="s">
        <v>10</v>
      </c>
      <c r="C12" s="10">
        <f>SUM(C5:C11)</f>
        <v>3501810</v>
      </c>
      <c r="D12" s="10">
        <f>SUM(D5:D11)</f>
        <v>498190</v>
      </c>
      <c r="E12" s="10"/>
      <c r="F12" s="10">
        <f>SUM(F5:F11)</f>
        <v>3501810</v>
      </c>
      <c r="G12" s="3">
        <f>SUM(G5:G11)</f>
        <v>4000000</v>
      </c>
    </row>
    <row r="13" spans="1:10" ht="41.25" customHeight="1" x14ac:dyDescent="0.25">
      <c r="A13" s="414" t="s">
        <v>11</v>
      </c>
      <c r="B13" s="114" t="s">
        <v>12</v>
      </c>
      <c r="C13" s="115" t="s">
        <v>13</v>
      </c>
      <c r="D13" s="430" t="s">
        <v>14</v>
      </c>
      <c r="E13" s="430"/>
      <c r="F13" s="430"/>
      <c r="G13" s="116" t="s">
        <v>15</v>
      </c>
      <c r="I13"/>
    </row>
    <row r="14" spans="1:10" x14ac:dyDescent="0.25">
      <c r="A14" s="415"/>
      <c r="B14" s="1" t="s">
        <v>16</v>
      </c>
      <c r="C14" s="4">
        <v>8.5000000000000006E-2</v>
      </c>
      <c r="D14" s="431">
        <f>$F$12*C14</f>
        <v>297653.85000000003</v>
      </c>
      <c r="E14" s="431"/>
      <c r="F14" s="431"/>
      <c r="G14" s="1"/>
    </row>
    <row r="15" spans="1:10" x14ac:dyDescent="0.25">
      <c r="A15" s="415"/>
      <c r="B15" s="1" t="s">
        <v>144</v>
      </c>
      <c r="C15" s="5">
        <v>2.436E-2</v>
      </c>
      <c r="D15" s="431">
        <f>$F$12*C15</f>
        <v>85304.0916</v>
      </c>
      <c r="E15" s="431"/>
      <c r="F15" s="431"/>
      <c r="G15" s="1"/>
    </row>
    <row r="16" spans="1:10" x14ac:dyDescent="0.25">
      <c r="A16" s="415"/>
      <c r="B16" s="1" t="s">
        <v>17</v>
      </c>
      <c r="C16" s="4">
        <v>0.12</v>
      </c>
      <c r="D16" s="431">
        <f>$F$12*C16</f>
        <v>420217.2</v>
      </c>
      <c r="E16" s="431"/>
      <c r="F16" s="431"/>
      <c r="G16" s="1"/>
    </row>
    <row r="17" spans="1:7" x14ac:dyDescent="0.25">
      <c r="A17" s="415"/>
      <c r="B17" s="1" t="s">
        <v>18</v>
      </c>
      <c r="C17" s="4">
        <v>0.09</v>
      </c>
      <c r="D17" s="431">
        <f>$F$12*C17</f>
        <v>315162.89999999997</v>
      </c>
      <c r="E17" s="431"/>
      <c r="F17" s="431"/>
      <c r="G17" s="1"/>
    </row>
    <row r="18" spans="1:7" x14ac:dyDescent="0.25">
      <c r="A18" s="415"/>
      <c r="B18" s="6" t="s">
        <v>19</v>
      </c>
      <c r="C18" s="7">
        <f>SUM(C14:C17)</f>
        <v>0.31935999999999998</v>
      </c>
      <c r="D18" s="432">
        <f>SUM(D14:D17)</f>
        <v>1118338.0415999999</v>
      </c>
      <c r="E18" s="433"/>
      <c r="F18" s="433"/>
      <c r="G18" s="162">
        <f>+SUM(D14:F17)</f>
        <v>1118338.0415999999</v>
      </c>
    </row>
    <row r="19" spans="1:7" x14ac:dyDescent="0.25">
      <c r="A19" s="415"/>
      <c r="B19" s="1" t="s">
        <v>20</v>
      </c>
      <c r="C19" s="4">
        <v>8.3299999999999999E-2</v>
      </c>
      <c r="D19" s="418">
        <f>+$G$12*C19</f>
        <v>333200</v>
      </c>
      <c r="E19" s="418"/>
      <c r="F19" s="418"/>
      <c r="G19" s="1"/>
    </row>
    <row r="20" spans="1:7" x14ac:dyDescent="0.25">
      <c r="A20" s="415"/>
      <c r="B20" s="1" t="s">
        <v>21</v>
      </c>
      <c r="C20" s="4">
        <v>8.3299999999999999E-2</v>
      </c>
      <c r="D20" s="418">
        <f>+$G$12*C20</f>
        <v>333200</v>
      </c>
      <c r="E20" s="418"/>
      <c r="F20" s="418"/>
      <c r="G20" s="1"/>
    </row>
    <row r="21" spans="1:7" x14ac:dyDescent="0.25">
      <c r="A21" s="415"/>
      <c r="B21" s="1" t="s">
        <v>22</v>
      </c>
      <c r="C21" s="4">
        <v>0.01</v>
      </c>
      <c r="D21" s="418">
        <f>+$G$12*C21</f>
        <v>40000</v>
      </c>
      <c r="E21" s="418"/>
      <c r="F21" s="418"/>
      <c r="G21" s="1"/>
    </row>
    <row r="22" spans="1:7" x14ac:dyDescent="0.25">
      <c r="A22" s="415"/>
      <c r="B22" s="1" t="s">
        <v>23</v>
      </c>
      <c r="C22" s="4">
        <v>4.1700000000000001E-2</v>
      </c>
      <c r="D22" s="418">
        <f>$F$12*C22</f>
        <v>146025.47700000001</v>
      </c>
      <c r="E22" s="418"/>
      <c r="F22" s="418"/>
      <c r="G22" s="1"/>
    </row>
    <row r="23" spans="1:7" x14ac:dyDescent="0.25">
      <c r="A23" s="416"/>
      <c r="B23" s="1" t="s">
        <v>56</v>
      </c>
      <c r="C23" s="4"/>
      <c r="D23" s="418">
        <v>50000</v>
      </c>
      <c r="E23" s="418"/>
      <c r="F23" s="418"/>
      <c r="G23" s="1"/>
    </row>
    <row r="24" spans="1:7" ht="18.75" x14ac:dyDescent="0.3">
      <c r="A24" s="417" t="s">
        <v>24</v>
      </c>
      <c r="B24" s="417"/>
      <c r="C24" s="7">
        <f>SUM(C19:C22)</f>
        <v>0.21829999999999999</v>
      </c>
      <c r="D24" s="419">
        <f>SUM(D19:F23)</f>
        <v>902425.47699999996</v>
      </c>
      <c r="E24" s="419"/>
      <c r="F24" s="419"/>
      <c r="G24" s="8">
        <f>+SUM(D19:F23)</f>
        <v>902425.47699999996</v>
      </c>
    </row>
    <row r="25" spans="1:7" ht="15.75" x14ac:dyDescent="0.25">
      <c r="A25" s="417" t="s">
        <v>25</v>
      </c>
      <c r="B25" s="417"/>
      <c r="C25" s="7">
        <f>+C18+C24</f>
        <v>0.53766000000000003</v>
      </c>
      <c r="D25" s="419">
        <f>+D18+D24</f>
        <v>2020763.5185999998</v>
      </c>
      <c r="E25" s="419"/>
      <c r="F25" s="419"/>
      <c r="G25" s="2"/>
    </row>
    <row r="26" spans="1:7" x14ac:dyDescent="0.25">
      <c r="A26" s="1"/>
      <c r="B26" s="1"/>
      <c r="C26" s="1"/>
      <c r="D26" s="420"/>
      <c r="E26" s="421"/>
      <c r="F26" s="422"/>
      <c r="G26" s="1"/>
    </row>
    <row r="27" spans="1:7" ht="18.75" x14ac:dyDescent="0.3">
      <c r="A27" s="411" t="s">
        <v>26</v>
      </c>
      <c r="B27" s="412"/>
      <c r="C27" s="412"/>
      <c r="D27" s="412"/>
      <c r="E27" s="412"/>
      <c r="F27" s="413"/>
      <c r="G27" s="8">
        <f>+G12+G18+G24</f>
        <v>6020763.5186000001</v>
      </c>
    </row>
    <row r="29" spans="1:7" ht="18.75" x14ac:dyDescent="0.3">
      <c r="A29" s="410" t="s">
        <v>174</v>
      </c>
      <c r="B29" s="410"/>
      <c r="C29" s="410"/>
      <c r="D29" s="410"/>
      <c r="E29" s="410"/>
      <c r="F29" s="410"/>
      <c r="G29" s="410"/>
    </row>
    <row r="31" spans="1:7" ht="18.75" x14ac:dyDescent="0.3">
      <c r="A31" s="13" t="s">
        <v>175</v>
      </c>
      <c r="B31" s="13"/>
      <c r="C31" s="160">
        <v>1750905</v>
      </c>
    </row>
    <row r="32" spans="1:7" ht="18.75" x14ac:dyDescent="0.3">
      <c r="A32" s="13" t="s">
        <v>176</v>
      </c>
      <c r="B32" s="13"/>
      <c r="C32" s="160">
        <v>249095</v>
      </c>
    </row>
    <row r="33" spans="1:3" ht="18.75" x14ac:dyDescent="0.3">
      <c r="A33" s="13" t="s">
        <v>177</v>
      </c>
      <c r="B33" s="13"/>
      <c r="C33" s="161">
        <v>220</v>
      </c>
    </row>
  </sheetData>
  <mergeCells count="25">
    <mergeCell ref="A1:G2"/>
    <mergeCell ref="A3:A12"/>
    <mergeCell ref="D13:F13"/>
    <mergeCell ref="D14:F14"/>
    <mergeCell ref="D21:F21"/>
    <mergeCell ref="D15:F15"/>
    <mergeCell ref="D16:F16"/>
    <mergeCell ref="D17:F17"/>
    <mergeCell ref="D18:F18"/>
    <mergeCell ref="D19:F19"/>
    <mergeCell ref="D20:F20"/>
    <mergeCell ref="G3:G4"/>
    <mergeCell ref="B3:B4"/>
    <mergeCell ref="C3:C4"/>
    <mergeCell ref="F3:F4"/>
    <mergeCell ref="A29:G29"/>
    <mergeCell ref="A27:F27"/>
    <mergeCell ref="A13:A23"/>
    <mergeCell ref="A24:B24"/>
    <mergeCell ref="A25:B25"/>
    <mergeCell ref="D22:F22"/>
    <mergeCell ref="D23:F23"/>
    <mergeCell ref="D24:F24"/>
    <mergeCell ref="D25:F25"/>
    <mergeCell ref="D26:F26"/>
  </mergeCells>
  <pageMargins left="2.2400000000000002" right="0.7" top="0.83" bottom="0.75" header="0.3" footer="0.3"/>
  <pageSetup paperSize="9" orientation="landscape" horizont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1"/>
  <sheetViews>
    <sheetView topLeftCell="A9" workbookViewId="0">
      <selection activeCell="I17" sqref="I17"/>
    </sheetView>
  </sheetViews>
  <sheetFormatPr baseColWidth="10" defaultColWidth="11.42578125" defaultRowHeight="15" x14ac:dyDescent="0.25"/>
  <cols>
    <col min="1" max="1" width="5.42578125" style="12" customWidth="1"/>
    <col min="2" max="2" width="25.28515625" style="12" customWidth="1"/>
    <col min="3" max="3" width="11.42578125" style="12"/>
    <col min="4" max="4" width="9.140625" style="12" customWidth="1"/>
    <col min="5" max="5" width="6.7109375" style="12" customWidth="1"/>
    <col min="6" max="6" width="11" style="12" customWidth="1"/>
    <col min="7" max="7" width="17.85546875" style="12" customWidth="1"/>
    <col min="8" max="16384" width="11.42578125" style="12"/>
  </cols>
  <sheetData>
    <row r="1" spans="1:9" ht="18.75" x14ac:dyDescent="0.25">
      <c r="A1" s="452" t="s">
        <v>148</v>
      </c>
      <c r="B1" s="453"/>
      <c r="C1" s="453"/>
      <c r="D1" s="453"/>
      <c r="E1" s="453"/>
      <c r="F1" s="453"/>
      <c r="G1" s="454"/>
    </row>
    <row r="2" spans="1:9" ht="9.75" customHeight="1" x14ac:dyDescent="0.25">
      <c r="A2" s="464"/>
      <c r="B2" s="464"/>
      <c r="C2" s="464"/>
      <c r="D2" s="464"/>
      <c r="E2" s="464"/>
      <c r="F2" s="464"/>
      <c r="G2" s="464"/>
    </row>
    <row r="3" spans="1:9" ht="60" x14ac:dyDescent="0.25">
      <c r="A3" s="455" t="s">
        <v>138</v>
      </c>
      <c r="B3" s="117" t="s">
        <v>0</v>
      </c>
      <c r="C3" s="117" t="s">
        <v>128</v>
      </c>
      <c r="D3" s="458" t="s">
        <v>1</v>
      </c>
      <c r="E3" s="459"/>
      <c r="F3" s="458" t="s">
        <v>129</v>
      </c>
      <c r="G3" s="459"/>
    </row>
    <row r="4" spans="1:9" x14ac:dyDescent="0.25">
      <c r="A4" s="456"/>
      <c r="B4" s="437" t="s">
        <v>52</v>
      </c>
      <c r="C4" s="438"/>
      <c r="D4" s="438"/>
      <c r="E4" s="438"/>
      <c r="F4" s="438"/>
      <c r="G4" s="439"/>
    </row>
    <row r="5" spans="1:9" ht="15" customHeight="1" x14ac:dyDescent="0.25">
      <c r="A5" s="456"/>
      <c r="B5" s="1" t="s">
        <v>170</v>
      </c>
      <c r="C5" s="18">
        <v>500</v>
      </c>
      <c r="D5" s="465">
        <f>+'Receta Estandar Principal'!M4</f>
        <v>1200</v>
      </c>
      <c r="E5" s="466"/>
      <c r="F5" s="460">
        <f>+C5*$D$5</f>
        <v>600000</v>
      </c>
      <c r="G5" s="461"/>
    </row>
    <row r="6" spans="1:9" ht="15" customHeight="1" x14ac:dyDescent="0.25">
      <c r="A6" s="456"/>
      <c r="B6" s="1" t="s">
        <v>169</v>
      </c>
      <c r="C6" s="18">
        <v>500</v>
      </c>
      <c r="D6" s="467"/>
      <c r="E6" s="468"/>
      <c r="F6" s="460">
        <f t="shared" ref="F6:F15" si="0">+C6*$D$5</f>
        <v>600000</v>
      </c>
      <c r="G6" s="461"/>
    </row>
    <row r="7" spans="1:9" ht="15" customHeight="1" x14ac:dyDescent="0.25">
      <c r="A7" s="456"/>
      <c r="B7" s="1" t="s">
        <v>126</v>
      </c>
      <c r="C7" s="18">
        <v>500</v>
      </c>
      <c r="D7" s="467"/>
      <c r="E7" s="468"/>
      <c r="F7" s="460">
        <f t="shared" si="0"/>
        <v>600000</v>
      </c>
      <c r="G7" s="461"/>
    </row>
    <row r="8" spans="1:9" ht="15" customHeight="1" x14ac:dyDescent="0.25">
      <c r="A8" s="456"/>
      <c r="B8" s="1" t="s">
        <v>127</v>
      </c>
      <c r="C8" s="18">
        <v>100</v>
      </c>
      <c r="D8" s="467"/>
      <c r="E8" s="468"/>
      <c r="F8" s="460">
        <f t="shared" si="0"/>
        <v>120000</v>
      </c>
      <c r="G8" s="461"/>
    </row>
    <row r="9" spans="1:9" ht="15" customHeight="1" x14ac:dyDescent="0.25">
      <c r="A9" s="456"/>
      <c r="B9" s="1"/>
      <c r="C9" s="18"/>
      <c r="D9" s="467"/>
      <c r="E9" s="468"/>
      <c r="F9" s="460">
        <f t="shared" si="0"/>
        <v>0</v>
      </c>
      <c r="G9" s="461"/>
    </row>
    <row r="10" spans="1:9" ht="15" customHeight="1" x14ac:dyDescent="0.25">
      <c r="A10" s="456"/>
      <c r="B10" s="1"/>
      <c r="C10" s="18"/>
      <c r="D10" s="467"/>
      <c r="E10" s="468"/>
      <c r="F10" s="460">
        <f t="shared" si="0"/>
        <v>0</v>
      </c>
      <c r="G10" s="461"/>
    </row>
    <row r="11" spans="1:9" ht="15" customHeight="1" x14ac:dyDescent="0.25">
      <c r="A11" s="456"/>
      <c r="B11" s="1"/>
      <c r="C11" s="18"/>
      <c r="D11" s="467"/>
      <c r="E11" s="468"/>
      <c r="F11" s="460">
        <f t="shared" si="0"/>
        <v>0</v>
      </c>
      <c r="G11" s="461"/>
    </row>
    <row r="12" spans="1:9" ht="15" customHeight="1" x14ac:dyDescent="0.25">
      <c r="A12" s="456"/>
      <c r="B12" s="1"/>
      <c r="C12" s="18"/>
      <c r="D12" s="467"/>
      <c r="E12" s="468"/>
      <c r="F12" s="460">
        <f t="shared" si="0"/>
        <v>0</v>
      </c>
      <c r="G12" s="461"/>
    </row>
    <row r="13" spans="1:9" ht="15" customHeight="1" x14ac:dyDescent="0.25">
      <c r="A13" s="456"/>
      <c r="B13" s="1"/>
      <c r="C13" s="18"/>
      <c r="D13" s="467"/>
      <c r="E13" s="468"/>
      <c r="F13" s="460">
        <f t="shared" si="0"/>
        <v>0</v>
      </c>
      <c r="G13" s="461"/>
      <c r="I13"/>
    </row>
    <row r="14" spans="1:9" ht="15" customHeight="1" x14ac:dyDescent="0.25">
      <c r="A14" s="456"/>
      <c r="B14" s="1"/>
      <c r="C14" s="18"/>
      <c r="D14" s="467"/>
      <c r="E14" s="468"/>
      <c r="F14" s="460">
        <f t="shared" si="0"/>
        <v>0</v>
      </c>
      <c r="G14" s="461"/>
    </row>
    <row r="15" spans="1:9" ht="15" customHeight="1" x14ac:dyDescent="0.25">
      <c r="A15" s="456"/>
      <c r="B15" s="1"/>
      <c r="C15" s="18"/>
      <c r="D15" s="469"/>
      <c r="E15" s="470"/>
      <c r="F15" s="460">
        <f t="shared" si="0"/>
        <v>0</v>
      </c>
      <c r="G15" s="461"/>
    </row>
    <row r="16" spans="1:9" ht="18.75" x14ac:dyDescent="0.3">
      <c r="A16" s="456"/>
      <c r="B16" s="440" t="s">
        <v>149</v>
      </c>
      <c r="C16" s="441"/>
      <c r="D16" s="441"/>
      <c r="E16" s="442"/>
      <c r="F16" s="462">
        <f>SUM(F5:G15)</f>
        <v>1920000</v>
      </c>
      <c r="G16" s="463"/>
    </row>
    <row r="17" spans="1:7" ht="18.75" x14ac:dyDescent="0.3">
      <c r="A17" s="456"/>
      <c r="B17" s="440" t="s">
        <v>150</v>
      </c>
      <c r="C17" s="441"/>
      <c r="D17" s="441"/>
      <c r="E17" s="441"/>
      <c r="F17" s="441"/>
      <c r="G17" s="442"/>
    </row>
    <row r="18" spans="1:7" x14ac:dyDescent="0.25">
      <c r="A18" s="456"/>
      <c r="B18" s="443" t="s">
        <v>0</v>
      </c>
      <c r="C18" s="444"/>
      <c r="D18" s="444"/>
      <c r="E18" s="445"/>
      <c r="F18" s="118" t="s">
        <v>14</v>
      </c>
      <c r="G18" s="118" t="s">
        <v>53</v>
      </c>
    </row>
    <row r="19" spans="1:7" x14ac:dyDescent="0.25">
      <c r="A19" s="456"/>
      <c r="B19" s="446" t="s">
        <v>36</v>
      </c>
      <c r="C19" s="447"/>
      <c r="D19" s="447"/>
      <c r="E19" s="448"/>
      <c r="F19" s="18">
        <v>2500000</v>
      </c>
      <c r="G19" s="70">
        <f>+F19</f>
        <v>2500000</v>
      </c>
    </row>
    <row r="20" spans="1:7" x14ac:dyDescent="0.25">
      <c r="A20" s="456"/>
      <c r="B20" s="446" t="s">
        <v>171</v>
      </c>
      <c r="C20" s="447"/>
      <c r="D20" s="447"/>
      <c r="E20" s="448"/>
      <c r="F20" s="18">
        <v>1200000</v>
      </c>
      <c r="G20" s="70">
        <f t="shared" ref="G20:G30" si="1">+F20</f>
        <v>1200000</v>
      </c>
    </row>
    <row r="21" spans="1:7" x14ac:dyDescent="0.25">
      <c r="A21" s="456"/>
      <c r="B21" s="446"/>
      <c r="C21" s="447"/>
      <c r="D21" s="447"/>
      <c r="E21" s="448"/>
      <c r="F21" s="18"/>
      <c r="G21" s="70">
        <f t="shared" si="1"/>
        <v>0</v>
      </c>
    </row>
    <row r="22" spans="1:7" x14ac:dyDescent="0.25">
      <c r="A22" s="456"/>
      <c r="B22" s="446"/>
      <c r="C22" s="447"/>
      <c r="D22" s="447"/>
      <c r="E22" s="448"/>
      <c r="F22" s="18"/>
      <c r="G22" s="70">
        <f t="shared" si="1"/>
        <v>0</v>
      </c>
    </row>
    <row r="23" spans="1:7" x14ac:dyDescent="0.25">
      <c r="A23" s="456"/>
      <c r="B23" s="446"/>
      <c r="C23" s="447"/>
      <c r="D23" s="447"/>
      <c r="E23" s="448"/>
      <c r="F23" s="18"/>
      <c r="G23" s="70">
        <f t="shared" si="1"/>
        <v>0</v>
      </c>
    </row>
    <row r="24" spans="1:7" x14ac:dyDescent="0.25">
      <c r="A24" s="456"/>
      <c r="B24" s="446"/>
      <c r="C24" s="447"/>
      <c r="D24" s="447"/>
      <c r="E24" s="448"/>
      <c r="F24" s="18"/>
      <c r="G24" s="70">
        <f t="shared" si="1"/>
        <v>0</v>
      </c>
    </row>
    <row r="25" spans="1:7" x14ac:dyDescent="0.25">
      <c r="A25" s="456"/>
      <c r="B25" s="446"/>
      <c r="C25" s="447"/>
      <c r="D25" s="447"/>
      <c r="E25" s="448"/>
      <c r="F25" s="18"/>
      <c r="G25" s="70">
        <f t="shared" si="1"/>
        <v>0</v>
      </c>
    </row>
    <row r="26" spans="1:7" x14ac:dyDescent="0.25">
      <c r="A26" s="456"/>
      <c r="B26" s="446"/>
      <c r="C26" s="447"/>
      <c r="D26" s="447"/>
      <c r="E26" s="448"/>
      <c r="F26" s="18"/>
      <c r="G26" s="70">
        <f t="shared" si="1"/>
        <v>0</v>
      </c>
    </row>
    <row r="27" spans="1:7" x14ac:dyDescent="0.25">
      <c r="A27" s="456"/>
      <c r="B27" s="446"/>
      <c r="C27" s="447"/>
      <c r="D27" s="447"/>
      <c r="E27" s="448"/>
      <c r="F27" s="18"/>
      <c r="G27" s="70">
        <f t="shared" si="1"/>
        <v>0</v>
      </c>
    </row>
    <row r="28" spans="1:7" x14ac:dyDescent="0.25">
      <c r="A28" s="456"/>
      <c r="B28" s="446"/>
      <c r="C28" s="447"/>
      <c r="D28" s="447"/>
      <c r="E28" s="448"/>
      <c r="F28" s="18"/>
      <c r="G28" s="70">
        <f t="shared" si="1"/>
        <v>0</v>
      </c>
    </row>
    <row r="29" spans="1:7" x14ac:dyDescent="0.25">
      <c r="A29" s="456"/>
      <c r="B29" s="446"/>
      <c r="C29" s="447"/>
      <c r="D29" s="447"/>
      <c r="E29" s="448"/>
      <c r="F29" s="18"/>
      <c r="G29" s="70">
        <f t="shared" si="1"/>
        <v>0</v>
      </c>
    </row>
    <row r="30" spans="1:7" x14ac:dyDescent="0.25">
      <c r="A30" s="457"/>
      <c r="B30" s="449" t="s">
        <v>54</v>
      </c>
      <c r="C30" s="450"/>
      <c r="D30" s="450"/>
      <c r="E30" s="451"/>
      <c r="F30" s="18"/>
      <c r="G30" s="70">
        <f t="shared" si="1"/>
        <v>0</v>
      </c>
    </row>
    <row r="31" spans="1:7" ht="18.75" x14ac:dyDescent="0.3">
      <c r="A31" s="436" t="s">
        <v>209</v>
      </c>
      <c r="B31" s="436"/>
      <c r="C31" s="436"/>
      <c r="D31" s="436"/>
      <c r="E31" s="436"/>
      <c r="F31" s="436"/>
      <c r="G31" s="71">
        <f>SUM(G19:G30)</f>
        <v>3700000</v>
      </c>
    </row>
  </sheetData>
  <sheetProtection sheet="1" objects="1" scenarios="1"/>
  <mergeCells count="35">
    <mergeCell ref="A2:G2"/>
    <mergeCell ref="D3:E3"/>
    <mergeCell ref="F7:G7"/>
    <mergeCell ref="D5:E15"/>
    <mergeCell ref="F5:G5"/>
    <mergeCell ref="F6:G6"/>
    <mergeCell ref="A1:G1"/>
    <mergeCell ref="A3:A30"/>
    <mergeCell ref="F3:G3"/>
    <mergeCell ref="F8:G8"/>
    <mergeCell ref="F14:G14"/>
    <mergeCell ref="F15:G15"/>
    <mergeCell ref="F16:G16"/>
    <mergeCell ref="F9:G9"/>
    <mergeCell ref="F10:G10"/>
    <mergeCell ref="F11:G11"/>
    <mergeCell ref="F12:G12"/>
    <mergeCell ref="F13:G13"/>
    <mergeCell ref="B24:E24"/>
    <mergeCell ref="B25:E25"/>
    <mergeCell ref="B26:E26"/>
    <mergeCell ref="B16:E16"/>
    <mergeCell ref="A31:F31"/>
    <mergeCell ref="B4:G4"/>
    <mergeCell ref="B17:G17"/>
    <mergeCell ref="B18:E18"/>
    <mergeCell ref="B19:E19"/>
    <mergeCell ref="B20:E20"/>
    <mergeCell ref="B21:E21"/>
    <mergeCell ref="B22:E22"/>
    <mergeCell ref="B23:E23"/>
    <mergeCell ref="B27:E27"/>
    <mergeCell ref="B28:E28"/>
    <mergeCell ref="B29:E29"/>
    <mergeCell ref="B30:E30"/>
  </mergeCells>
  <pageMargins left="0.97" right="0.7" top="1.67" bottom="0.75" header="0.3" footer="0.3"/>
  <pageSetup paperSize="9" orientation="portrait" horizont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21"/>
  <sheetViews>
    <sheetView workbookViewId="0">
      <selection activeCell="I10" sqref="I10"/>
    </sheetView>
  </sheetViews>
  <sheetFormatPr baseColWidth="10" defaultColWidth="11.42578125" defaultRowHeight="15" x14ac:dyDescent="0.25"/>
  <cols>
    <col min="1" max="1" width="11.42578125" style="12"/>
    <col min="2" max="2" width="22.42578125" style="12" customWidth="1"/>
    <col min="3" max="3" width="18.28515625" style="12" customWidth="1"/>
    <col min="4" max="5" width="11.42578125" style="12"/>
    <col min="6" max="6" width="17.42578125" style="12" bestFit="1" customWidth="1"/>
    <col min="7" max="7" width="15.85546875" style="12" customWidth="1"/>
    <col min="8" max="16384" width="11.42578125" style="12"/>
  </cols>
  <sheetData>
    <row r="1" spans="1:9" x14ac:dyDescent="0.25">
      <c r="A1" s="485" t="s">
        <v>30</v>
      </c>
      <c r="B1" s="485"/>
      <c r="C1" s="485"/>
      <c r="D1" s="485"/>
      <c r="E1" s="485"/>
      <c r="F1" s="485"/>
      <c r="G1" s="485"/>
    </row>
    <row r="2" spans="1:9" x14ac:dyDescent="0.25">
      <c r="A2" s="485"/>
      <c r="B2" s="485"/>
      <c r="C2" s="485"/>
      <c r="D2" s="485"/>
      <c r="E2" s="485"/>
      <c r="F2" s="485"/>
      <c r="G2" s="485"/>
    </row>
    <row r="3" spans="1:9" x14ac:dyDescent="0.25">
      <c r="A3" s="420"/>
      <c r="B3" s="421"/>
      <c r="C3" s="421"/>
      <c r="D3" s="421"/>
      <c r="E3" s="421"/>
      <c r="F3" s="421"/>
      <c r="G3" s="422"/>
    </row>
    <row r="4" spans="1:9" x14ac:dyDescent="0.25">
      <c r="A4" s="498" t="s">
        <v>10</v>
      </c>
      <c r="B4" s="486" t="s">
        <v>55</v>
      </c>
      <c r="C4" s="487"/>
      <c r="D4" s="487"/>
      <c r="E4" s="488"/>
      <c r="F4" s="19" t="s">
        <v>53</v>
      </c>
      <c r="G4" s="19" t="s">
        <v>51</v>
      </c>
    </row>
    <row r="5" spans="1:9" ht="15.75" x14ac:dyDescent="0.25">
      <c r="A5" s="499"/>
      <c r="B5" s="489" t="s">
        <v>151</v>
      </c>
      <c r="C5" s="490"/>
      <c r="D5" s="490"/>
      <c r="E5" s="491"/>
      <c r="F5" s="119">
        <f>+'Receta Estandar Principal'!M50</f>
        <v>21378301.754385967</v>
      </c>
      <c r="G5" s="75">
        <f>+F5/'Receta Estandar Principal'!M4</f>
        <v>17815.251461988304</v>
      </c>
    </row>
    <row r="6" spans="1:9" ht="15.75" x14ac:dyDescent="0.25">
      <c r="A6" s="499"/>
      <c r="B6" s="492"/>
      <c r="C6" s="493"/>
      <c r="D6" s="493"/>
      <c r="E6" s="494"/>
      <c r="F6" s="120"/>
      <c r="G6" s="121"/>
    </row>
    <row r="7" spans="1:9" ht="15.75" x14ac:dyDescent="0.25">
      <c r="A7" s="499"/>
      <c r="B7" s="489" t="s">
        <v>27</v>
      </c>
      <c r="C7" s="490"/>
      <c r="D7" s="490"/>
      <c r="E7" s="491"/>
      <c r="F7" s="119">
        <f>+'Mano de obra'!G27</f>
        <v>6020763.5186000001</v>
      </c>
      <c r="G7" s="75">
        <f>+F7/'Receta Estandar Principal'!M4</f>
        <v>5017.3029321666663</v>
      </c>
    </row>
    <row r="8" spans="1:9" ht="15.75" x14ac:dyDescent="0.25">
      <c r="A8" s="499"/>
      <c r="B8" s="492"/>
      <c r="C8" s="493"/>
      <c r="D8" s="493"/>
      <c r="E8" s="494"/>
      <c r="F8" s="120"/>
      <c r="G8" s="121"/>
    </row>
    <row r="9" spans="1:9" ht="15.75" x14ac:dyDescent="0.25">
      <c r="A9" s="499"/>
      <c r="B9" s="489" t="s">
        <v>28</v>
      </c>
      <c r="C9" s="490"/>
      <c r="D9" s="490"/>
      <c r="E9" s="491"/>
      <c r="F9" s="75">
        <f>+CIS!F16</f>
        <v>1920000</v>
      </c>
      <c r="G9" s="75">
        <f>+F9/'Receta Estandar Principal'!M4</f>
        <v>1600</v>
      </c>
    </row>
    <row r="10" spans="1:9" ht="15.75" x14ac:dyDescent="0.25">
      <c r="A10" s="499"/>
      <c r="B10" s="492"/>
      <c r="C10" s="493"/>
      <c r="D10" s="493"/>
      <c r="E10" s="494"/>
      <c r="F10" s="121"/>
      <c r="G10" s="121"/>
    </row>
    <row r="11" spans="1:9" ht="18.75" x14ac:dyDescent="0.3">
      <c r="A11" s="500"/>
      <c r="B11" s="495" t="s">
        <v>29</v>
      </c>
      <c r="C11" s="496"/>
      <c r="D11" s="496"/>
      <c r="E11" s="497"/>
      <c r="F11" s="74">
        <f>SUM(F5:F10)</f>
        <v>29319065.272985965</v>
      </c>
      <c r="G11" s="74">
        <f>SUM(G5:G10)</f>
        <v>24432.554394154969</v>
      </c>
      <c r="I11" s="16"/>
    </row>
    <row r="15" spans="1:9" ht="15" customHeight="1" x14ac:dyDescent="0.25">
      <c r="A15" s="475" t="s">
        <v>31</v>
      </c>
      <c r="B15" s="476"/>
      <c r="C15" s="476"/>
      <c r="D15" s="476"/>
      <c r="E15" s="476"/>
      <c r="F15" s="476"/>
      <c r="G15" s="477"/>
    </row>
    <row r="16" spans="1:9" ht="3.75" customHeight="1" x14ac:dyDescent="0.25">
      <c r="A16" s="478"/>
      <c r="B16" s="479"/>
      <c r="C16" s="479"/>
      <c r="D16" s="479"/>
      <c r="E16" s="479"/>
      <c r="F16" s="479"/>
      <c r="G16" s="480"/>
    </row>
    <row r="17" spans="1:7" x14ac:dyDescent="0.25">
      <c r="A17" s="478"/>
      <c r="B17" s="479"/>
      <c r="C17" s="479"/>
      <c r="D17" s="479"/>
      <c r="E17" s="479"/>
      <c r="F17" s="479"/>
      <c r="G17" s="480"/>
    </row>
    <row r="18" spans="1:7" x14ac:dyDescent="0.25">
      <c r="A18" s="420" t="s">
        <v>32</v>
      </c>
      <c r="B18" s="422"/>
      <c r="C18" s="471">
        <f>+G11</f>
        <v>24432.554394154969</v>
      </c>
      <c r="D18" s="472"/>
      <c r="E18" s="481">
        <f>ROUND(C18/(1-C19),-3)</f>
        <v>41000</v>
      </c>
      <c r="F18" s="481"/>
      <c r="G18" s="481"/>
    </row>
    <row r="19" spans="1:7" ht="18.75" x14ac:dyDescent="0.3">
      <c r="A19" s="420" t="s">
        <v>33</v>
      </c>
      <c r="B19" s="422"/>
      <c r="C19" s="473">
        <f>+'Receta Estandar Principal'!M55</f>
        <v>0.4</v>
      </c>
      <c r="D19" s="474"/>
      <c r="E19" s="481"/>
      <c r="F19" s="481"/>
      <c r="G19" s="481"/>
    </row>
    <row r="20" spans="1:7" ht="15" customHeight="1" x14ac:dyDescent="0.25">
      <c r="A20" s="475" t="s">
        <v>134</v>
      </c>
      <c r="B20" s="476"/>
      <c r="C20" s="476"/>
      <c r="D20" s="477"/>
      <c r="E20" s="481"/>
      <c r="F20" s="481"/>
      <c r="G20" s="481"/>
    </row>
    <row r="21" spans="1:7" ht="5.25" customHeight="1" x14ac:dyDescent="0.25">
      <c r="A21" s="482"/>
      <c r="B21" s="483"/>
      <c r="C21" s="483"/>
      <c r="D21" s="484"/>
      <c r="E21" s="481"/>
      <c r="F21" s="481"/>
      <c r="G21" s="481"/>
    </row>
  </sheetData>
  <mergeCells count="18">
    <mergeCell ref="B10:E10"/>
    <mergeCell ref="B11:E11"/>
    <mergeCell ref="A4:A11"/>
    <mergeCell ref="B6:E6"/>
    <mergeCell ref="B7:E7"/>
    <mergeCell ref="B8:E8"/>
    <mergeCell ref="A1:G2"/>
    <mergeCell ref="A3:G3"/>
    <mergeCell ref="B4:E4"/>
    <mergeCell ref="B5:E5"/>
    <mergeCell ref="B9:E9"/>
    <mergeCell ref="C18:D18"/>
    <mergeCell ref="C19:D19"/>
    <mergeCell ref="A18:B18"/>
    <mergeCell ref="A19:B19"/>
    <mergeCell ref="A15:G17"/>
    <mergeCell ref="E18:G21"/>
    <mergeCell ref="A20:D21"/>
  </mergeCells>
  <pageMargins left="0.70866141732283472" right="0.70866141732283472" top="2.0099999999999998" bottom="0.74803149606299213" header="0.31496062992125984" footer="0.31496062992125984"/>
  <pageSetup paperSize="9" scale="88" orientation="portrait" horizontalDpi="4294967294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2"/>
  <sheetViews>
    <sheetView topLeftCell="A11" workbookViewId="0">
      <selection activeCell="I17" sqref="I17"/>
    </sheetView>
  </sheetViews>
  <sheetFormatPr baseColWidth="10" defaultColWidth="11.42578125" defaultRowHeight="15" x14ac:dyDescent="0.25"/>
  <cols>
    <col min="1" max="1" width="11.42578125" style="12"/>
    <col min="2" max="2" width="14.42578125" style="12" customWidth="1"/>
    <col min="3" max="3" width="14.42578125" style="12" bestFit="1" customWidth="1"/>
    <col min="4" max="4" width="9.7109375" style="12" customWidth="1"/>
    <col min="5" max="5" width="6" style="12" customWidth="1"/>
    <col min="6" max="6" width="9.42578125" style="12" customWidth="1"/>
    <col min="7" max="7" width="18.85546875" style="12" customWidth="1"/>
    <col min="8" max="16384" width="11.42578125" style="12"/>
  </cols>
  <sheetData>
    <row r="1" spans="1:7" ht="15" customHeight="1" x14ac:dyDescent="0.25">
      <c r="A1" s="475" t="s">
        <v>34</v>
      </c>
      <c r="B1" s="476"/>
      <c r="C1" s="476"/>
      <c r="D1" s="476"/>
      <c r="E1" s="476"/>
      <c r="F1" s="476"/>
      <c r="G1" s="477"/>
    </row>
    <row r="2" spans="1:7" ht="15" customHeight="1" x14ac:dyDescent="0.25">
      <c r="A2" s="478"/>
      <c r="B2" s="479"/>
      <c r="C2" s="479"/>
      <c r="D2" s="479"/>
      <c r="E2" s="479"/>
      <c r="F2" s="479"/>
      <c r="G2" s="480"/>
    </row>
    <row r="3" spans="1:7" x14ac:dyDescent="0.25">
      <c r="A3" s="482"/>
      <c r="B3" s="483"/>
      <c r="C3" s="483"/>
      <c r="D3" s="483"/>
      <c r="E3" s="483"/>
      <c r="F3" s="483"/>
      <c r="G3" s="484"/>
    </row>
    <row r="4" spans="1:7" ht="15.75" x14ac:dyDescent="0.25">
      <c r="A4" s="514" t="s">
        <v>34</v>
      </c>
      <c r="B4" s="517" t="s">
        <v>35</v>
      </c>
      <c r="C4" s="518"/>
      <c r="D4" s="518"/>
      <c r="E4" s="518"/>
      <c r="F4" s="518"/>
      <c r="G4" s="519"/>
    </row>
    <row r="5" spans="1:7" x14ac:dyDescent="0.25">
      <c r="A5" s="515"/>
      <c r="B5" s="527" t="s">
        <v>12</v>
      </c>
      <c r="C5" s="528"/>
      <c r="D5" s="528"/>
      <c r="E5" s="528"/>
      <c r="F5" s="529"/>
      <c r="G5" s="68" t="s">
        <v>14</v>
      </c>
    </row>
    <row r="6" spans="1:7" ht="15.75" x14ac:dyDescent="0.25">
      <c r="A6" s="515"/>
      <c r="B6" s="520" t="str">
        <f>+CIS!A31</f>
        <v>TOTAL CIS</v>
      </c>
      <c r="C6" s="520"/>
      <c r="D6" s="520"/>
      <c r="E6" s="520"/>
      <c r="F6" s="520"/>
      <c r="G6" s="15">
        <f>+CIS!G31</f>
        <v>3700000</v>
      </c>
    </row>
    <row r="7" spans="1:7" ht="15.75" x14ac:dyDescent="0.25">
      <c r="A7" s="515"/>
      <c r="B7" s="520" t="str">
        <f>+'Mano de obra'!A1</f>
        <v>MANO DE OBRA DIRECTA</v>
      </c>
      <c r="C7" s="520"/>
      <c r="D7" s="520"/>
      <c r="E7" s="520"/>
      <c r="F7" s="520"/>
      <c r="G7" s="15">
        <f>+'Mano de obra'!G27</f>
        <v>6020763.5186000001</v>
      </c>
    </row>
    <row r="8" spans="1:7" ht="15.75" x14ac:dyDescent="0.25">
      <c r="A8" s="515"/>
      <c r="B8" s="520"/>
      <c r="C8" s="520"/>
      <c r="D8" s="520"/>
      <c r="E8" s="520"/>
      <c r="F8" s="520"/>
      <c r="G8" s="15"/>
    </row>
    <row r="9" spans="1:7" ht="15.75" x14ac:dyDescent="0.25">
      <c r="A9" s="515"/>
      <c r="B9" s="520"/>
      <c r="C9" s="520"/>
      <c r="D9" s="520"/>
      <c r="E9" s="520"/>
      <c r="F9" s="520"/>
      <c r="G9" s="15"/>
    </row>
    <row r="10" spans="1:7" ht="15.75" x14ac:dyDescent="0.25">
      <c r="A10" s="515"/>
      <c r="B10" s="520"/>
      <c r="C10" s="520"/>
      <c r="D10" s="520"/>
      <c r="E10" s="520"/>
      <c r="F10" s="520"/>
      <c r="G10" s="15"/>
    </row>
    <row r="11" spans="1:7" ht="15.75" x14ac:dyDescent="0.25">
      <c r="A11" s="515"/>
      <c r="B11" s="520"/>
      <c r="C11" s="520"/>
      <c r="D11" s="520"/>
      <c r="E11" s="520"/>
      <c r="F11" s="520"/>
      <c r="G11" s="15"/>
    </row>
    <row r="12" spans="1:7" ht="15.75" x14ac:dyDescent="0.25">
      <c r="A12" s="515"/>
      <c r="B12" s="520"/>
      <c r="C12" s="520"/>
      <c r="D12" s="520"/>
      <c r="E12" s="520"/>
      <c r="F12" s="520"/>
      <c r="G12" s="15"/>
    </row>
    <row r="13" spans="1:7" ht="15.75" x14ac:dyDescent="0.25">
      <c r="A13" s="515"/>
      <c r="B13" s="520"/>
      <c r="C13" s="520"/>
      <c r="D13" s="520"/>
      <c r="E13" s="520"/>
      <c r="F13" s="520"/>
      <c r="G13" s="15"/>
    </row>
    <row r="14" spans="1:7" x14ac:dyDescent="0.25">
      <c r="A14" s="515"/>
      <c r="B14" s="520"/>
      <c r="C14" s="520"/>
      <c r="D14" s="520"/>
      <c r="E14" s="520"/>
      <c r="F14" s="520"/>
      <c r="G14" s="122"/>
    </row>
    <row r="15" spans="1:7" x14ac:dyDescent="0.25">
      <c r="A15" s="515"/>
      <c r="B15" s="520"/>
      <c r="C15" s="520"/>
      <c r="D15" s="520"/>
      <c r="E15" s="520"/>
      <c r="F15" s="520"/>
      <c r="G15" s="122"/>
    </row>
    <row r="16" spans="1:7" x14ac:dyDescent="0.25">
      <c r="A16" s="515"/>
      <c r="B16" s="520"/>
      <c r="C16" s="520"/>
      <c r="D16" s="520"/>
      <c r="E16" s="520"/>
      <c r="F16" s="520"/>
      <c r="G16" s="122"/>
    </row>
    <row r="17" spans="1:7" x14ac:dyDescent="0.25">
      <c r="A17" s="515"/>
      <c r="B17" s="520"/>
      <c r="C17" s="520"/>
      <c r="D17" s="520"/>
      <c r="E17" s="520"/>
      <c r="F17" s="520"/>
      <c r="G17" s="122"/>
    </row>
    <row r="18" spans="1:7" ht="18.75" x14ac:dyDescent="0.3">
      <c r="A18" s="515"/>
      <c r="B18" s="440" t="s">
        <v>136</v>
      </c>
      <c r="C18" s="441"/>
      <c r="D18" s="441"/>
      <c r="E18" s="441"/>
      <c r="F18" s="441"/>
      <c r="G18" s="69">
        <f>SUM(G6:G17)</f>
        <v>9720763.5186000001</v>
      </c>
    </row>
    <row r="19" spans="1:7" x14ac:dyDescent="0.25">
      <c r="A19" s="515"/>
      <c r="B19" s="420"/>
      <c r="C19" s="421"/>
      <c r="D19" s="421"/>
      <c r="E19" s="421"/>
      <c r="F19" s="421"/>
      <c r="G19" s="422"/>
    </row>
    <row r="20" spans="1:7" ht="21" x14ac:dyDescent="0.35">
      <c r="A20" s="515"/>
      <c r="B20" s="501" t="s">
        <v>37</v>
      </c>
      <c r="C20" s="501"/>
      <c r="D20" s="501"/>
      <c r="E20" s="501"/>
      <c r="F20" s="501"/>
      <c r="G20" s="77">
        <f>+G18/(C24-Resumen!G11)</f>
        <v>586.73882201674428</v>
      </c>
    </row>
    <row r="21" spans="1:7" x14ac:dyDescent="0.25">
      <c r="A21" s="515"/>
      <c r="B21" s="420"/>
      <c r="C21" s="421"/>
      <c r="D21" s="421"/>
      <c r="E21" s="421"/>
      <c r="F21" s="421"/>
      <c r="G21" s="422"/>
    </row>
    <row r="22" spans="1:7" ht="15.75" x14ac:dyDescent="0.25">
      <c r="A22" s="515"/>
      <c r="B22" s="502" t="s">
        <v>38</v>
      </c>
      <c r="C22" s="503"/>
      <c r="D22" s="503"/>
      <c r="E22" s="503"/>
      <c r="F22" s="503"/>
      <c r="G22" s="504"/>
    </row>
    <row r="23" spans="1:7" ht="18.75" x14ac:dyDescent="0.3">
      <c r="A23" s="515"/>
      <c r="B23" s="13" t="s">
        <v>39</v>
      </c>
      <c r="C23" s="78">
        <f>+G20</f>
        <v>586.73882201674428</v>
      </c>
      <c r="D23" s="521"/>
      <c r="E23" s="522"/>
      <c r="F23" s="522"/>
      <c r="G23" s="523"/>
    </row>
    <row r="24" spans="1:7" ht="18.75" x14ac:dyDescent="0.3">
      <c r="A24" s="515"/>
      <c r="B24" s="13" t="s">
        <v>40</v>
      </c>
      <c r="C24" s="11">
        <f>+Resumen!E18</f>
        <v>41000</v>
      </c>
      <c r="D24" s="524"/>
      <c r="E24" s="525"/>
      <c r="F24" s="525"/>
      <c r="G24" s="526"/>
    </row>
    <row r="25" spans="1:7" ht="18.75" x14ac:dyDescent="0.3">
      <c r="A25" s="515"/>
      <c r="B25" s="489" t="s">
        <v>41</v>
      </c>
      <c r="C25" s="490"/>
      <c r="D25" s="490"/>
      <c r="E25" s="490"/>
      <c r="F25" s="505">
        <f>+C23*C24</f>
        <v>24056291.702686515</v>
      </c>
      <c r="G25" s="505"/>
    </row>
    <row r="26" spans="1:7" x14ac:dyDescent="0.25">
      <c r="A26" s="515"/>
      <c r="B26" s="1" t="s">
        <v>42</v>
      </c>
      <c r="C26" s="420"/>
      <c r="D26" s="421"/>
      <c r="E26" s="421"/>
      <c r="F26" s="421"/>
      <c r="G26" s="422"/>
    </row>
    <row r="27" spans="1:7" ht="18.75" x14ac:dyDescent="0.3">
      <c r="A27" s="515"/>
      <c r="B27" s="446" t="s">
        <v>43</v>
      </c>
      <c r="C27" s="447"/>
      <c r="D27" s="447"/>
      <c r="E27" s="447"/>
      <c r="F27" s="448"/>
      <c r="G27" s="65">
        <f>+G18</f>
        <v>9720763.5186000001</v>
      </c>
    </row>
    <row r="28" spans="1:7" ht="18.75" x14ac:dyDescent="0.3">
      <c r="A28" s="515"/>
      <c r="B28" s="443" t="s">
        <v>137</v>
      </c>
      <c r="C28" s="444"/>
      <c r="D28" s="444"/>
      <c r="E28" s="444"/>
      <c r="F28" s="445"/>
      <c r="G28" s="66">
        <f>+SUM(E29:E31)</f>
        <v>14335528.184086516</v>
      </c>
    </row>
    <row r="29" spans="1:7" ht="15.75" x14ac:dyDescent="0.25">
      <c r="A29" s="515"/>
      <c r="B29" s="508" t="s">
        <v>44</v>
      </c>
      <c r="C29" s="509"/>
      <c r="D29" s="510"/>
      <c r="E29" s="506">
        <f>+C23*Resumen!G5</f>
        <v>10452899.656739099</v>
      </c>
      <c r="F29" s="507"/>
      <c r="G29" s="511"/>
    </row>
    <row r="30" spans="1:7" ht="15.75" x14ac:dyDescent="0.25">
      <c r="A30" s="515"/>
      <c r="B30" s="508" t="s">
        <v>27</v>
      </c>
      <c r="C30" s="509"/>
      <c r="D30" s="510"/>
      <c r="E30" s="506">
        <f>+Resumen!G7*'PUNTO DE EQUILIBRIO'!C23</f>
        <v>2943846.4121206268</v>
      </c>
      <c r="F30" s="507"/>
      <c r="G30" s="512"/>
    </row>
    <row r="31" spans="1:7" ht="15.75" x14ac:dyDescent="0.25">
      <c r="A31" s="515"/>
      <c r="B31" s="508" t="s">
        <v>135</v>
      </c>
      <c r="C31" s="509"/>
      <c r="D31" s="510"/>
      <c r="E31" s="506">
        <f>+C23*Resumen!G9</f>
        <v>938782.11522679089</v>
      </c>
      <c r="F31" s="507"/>
      <c r="G31" s="513"/>
    </row>
    <row r="32" spans="1:7" ht="15.75" x14ac:dyDescent="0.25">
      <c r="A32" s="516"/>
      <c r="B32" s="443" t="s">
        <v>46</v>
      </c>
      <c r="C32" s="444"/>
      <c r="D32" s="444"/>
      <c r="E32" s="444"/>
      <c r="F32" s="445"/>
      <c r="G32" s="67">
        <f>+F25-G27-G28</f>
        <v>0</v>
      </c>
    </row>
  </sheetData>
  <mergeCells count="35">
    <mergeCell ref="B9:F9"/>
    <mergeCell ref="B16:F16"/>
    <mergeCell ref="B17:F17"/>
    <mergeCell ref="E29:F29"/>
    <mergeCell ref="B5:F5"/>
    <mergeCell ref="B18:F18"/>
    <mergeCell ref="B14:F14"/>
    <mergeCell ref="B6:F6"/>
    <mergeCell ref="B7:F7"/>
    <mergeCell ref="B8:F8"/>
    <mergeCell ref="B15:F15"/>
    <mergeCell ref="B31:D31"/>
    <mergeCell ref="B13:F13"/>
    <mergeCell ref="B10:F10"/>
    <mergeCell ref="B11:F11"/>
    <mergeCell ref="B12:F12"/>
    <mergeCell ref="B19:G19"/>
    <mergeCell ref="D23:G24"/>
    <mergeCell ref="B21:G21"/>
    <mergeCell ref="A1:G3"/>
    <mergeCell ref="B32:F32"/>
    <mergeCell ref="B20:F20"/>
    <mergeCell ref="B22:G22"/>
    <mergeCell ref="C26:G26"/>
    <mergeCell ref="B27:F27"/>
    <mergeCell ref="B28:F28"/>
    <mergeCell ref="F25:G25"/>
    <mergeCell ref="B25:E25"/>
    <mergeCell ref="E30:F30"/>
    <mergeCell ref="E31:F31"/>
    <mergeCell ref="B29:D29"/>
    <mergeCell ref="B30:D30"/>
    <mergeCell ref="G29:G31"/>
    <mergeCell ref="A4:A32"/>
    <mergeCell ref="B4:G4"/>
  </mergeCells>
  <pageMargins left="0.83" right="0.5" top="1.57" bottom="0.75" header="0.3" footer="0.3"/>
  <pageSetup paperSize="9" orientation="portrait" horizont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16"/>
  <sheetViews>
    <sheetView workbookViewId="0">
      <selection activeCell="H13" sqref="H13"/>
    </sheetView>
  </sheetViews>
  <sheetFormatPr baseColWidth="10" defaultColWidth="11.42578125" defaultRowHeight="15" x14ac:dyDescent="0.25"/>
  <cols>
    <col min="1" max="1" width="11.42578125" style="12"/>
    <col min="2" max="2" width="27.140625" style="12" bestFit="1" customWidth="1"/>
    <col min="3" max="4" width="11.42578125" style="12"/>
    <col min="5" max="5" width="9" style="12" customWidth="1"/>
    <col min="6" max="6" width="7.85546875" style="12" customWidth="1"/>
    <col min="7" max="7" width="20" style="12" customWidth="1"/>
    <col min="8" max="16384" width="11.42578125" style="12"/>
  </cols>
  <sheetData>
    <row r="1" spans="1:7" ht="28.5" x14ac:dyDescent="0.45">
      <c r="A1" s="536" t="s">
        <v>156</v>
      </c>
      <c r="B1" s="537"/>
      <c r="C1" s="537"/>
      <c r="D1" s="537"/>
      <c r="E1" s="537"/>
      <c r="F1" s="537"/>
      <c r="G1" s="538"/>
    </row>
    <row r="2" spans="1:7" ht="18.75" x14ac:dyDescent="0.3">
      <c r="A2" s="552" t="s">
        <v>50</v>
      </c>
      <c r="B2" s="123" t="s">
        <v>155</v>
      </c>
      <c r="C2" s="569">
        <v>5000000</v>
      </c>
      <c r="D2" s="442"/>
      <c r="E2" s="555">
        <f>(C2+C3)/(C4-C5)</f>
        <v>888.5354971925475</v>
      </c>
      <c r="F2" s="556"/>
      <c r="G2" s="557"/>
    </row>
    <row r="3" spans="1:7" ht="15.75" x14ac:dyDescent="0.25">
      <c r="A3" s="553"/>
      <c r="B3" s="124" t="s">
        <v>48</v>
      </c>
      <c r="C3" s="564">
        <f>+'PUNTO DE EQUILIBRIO'!G18</f>
        <v>9720763.5186000001</v>
      </c>
      <c r="D3" s="565"/>
      <c r="E3" s="558"/>
      <c r="F3" s="559"/>
      <c r="G3" s="560"/>
    </row>
    <row r="4" spans="1:7" ht="15.75" x14ac:dyDescent="0.25">
      <c r="A4" s="553"/>
      <c r="B4" s="14" t="s">
        <v>49</v>
      </c>
      <c r="C4" s="564">
        <f>+Resumen!E18</f>
        <v>41000</v>
      </c>
      <c r="D4" s="565"/>
      <c r="E4" s="558"/>
      <c r="F4" s="559"/>
      <c r="G4" s="560"/>
    </row>
    <row r="5" spans="1:7" ht="15.75" x14ac:dyDescent="0.25">
      <c r="A5" s="553"/>
      <c r="B5" s="124" t="s">
        <v>2</v>
      </c>
      <c r="C5" s="564">
        <f>+Resumen!G11</f>
        <v>24432.554394154969</v>
      </c>
      <c r="D5" s="565"/>
      <c r="E5" s="558"/>
      <c r="F5" s="559"/>
      <c r="G5" s="560"/>
    </row>
    <row r="6" spans="1:7" ht="31.5" customHeight="1" x14ac:dyDescent="0.25">
      <c r="A6" s="553"/>
      <c r="B6" s="545" t="s">
        <v>47</v>
      </c>
      <c r="C6" s="546"/>
      <c r="D6" s="547"/>
      <c r="E6" s="558"/>
      <c r="F6" s="559"/>
      <c r="G6" s="560"/>
    </row>
    <row r="7" spans="1:7" ht="19.5" customHeight="1" x14ac:dyDescent="0.25">
      <c r="A7" s="553"/>
      <c r="B7" s="76" t="s">
        <v>39</v>
      </c>
      <c r="C7" s="530">
        <f>+E2</f>
        <v>888.5354971925475</v>
      </c>
      <c r="D7" s="531"/>
      <c r="E7" s="558"/>
      <c r="F7" s="559"/>
      <c r="G7" s="560"/>
    </row>
    <row r="8" spans="1:7" ht="19.5" customHeight="1" x14ac:dyDescent="0.25">
      <c r="A8" s="553"/>
      <c r="B8" s="76" t="s">
        <v>40</v>
      </c>
      <c r="C8" s="530">
        <f>+C4</f>
        <v>41000</v>
      </c>
      <c r="D8" s="531"/>
      <c r="E8" s="561"/>
      <c r="F8" s="562"/>
      <c r="G8" s="563"/>
    </row>
    <row r="9" spans="1:7" ht="18.75" x14ac:dyDescent="0.3">
      <c r="A9" s="553"/>
      <c r="B9" s="566" t="s">
        <v>41</v>
      </c>
      <c r="C9" s="567"/>
      <c r="D9" s="567"/>
      <c r="E9" s="567"/>
      <c r="F9" s="568"/>
      <c r="G9" s="126">
        <f>+C7*C8</f>
        <v>36429955.384894446</v>
      </c>
    </row>
    <row r="10" spans="1:7" x14ac:dyDescent="0.25">
      <c r="A10" s="553"/>
      <c r="B10" s="486" t="s">
        <v>42</v>
      </c>
      <c r="C10" s="487"/>
      <c r="D10" s="487"/>
      <c r="E10" s="487"/>
      <c r="F10" s="487"/>
      <c r="G10" s="532"/>
    </row>
    <row r="11" spans="1:7" ht="18.75" x14ac:dyDescent="0.3">
      <c r="A11" s="553"/>
      <c r="B11" s="533" t="s">
        <v>152</v>
      </c>
      <c r="C11" s="534"/>
      <c r="D11" s="534"/>
      <c r="E11" s="534"/>
      <c r="F11" s="535"/>
      <c r="G11" s="127">
        <f>+C3</f>
        <v>9720763.5186000001</v>
      </c>
    </row>
    <row r="12" spans="1:7" ht="18.75" x14ac:dyDescent="0.3">
      <c r="A12" s="553"/>
      <c r="B12" s="533" t="s">
        <v>153</v>
      </c>
      <c r="C12" s="534"/>
      <c r="D12" s="534"/>
      <c r="E12" s="534"/>
      <c r="F12" s="535"/>
      <c r="G12" s="127">
        <f>+SUM(E13:E15)</f>
        <v>21709191.866294447</v>
      </c>
    </row>
    <row r="13" spans="1:7" ht="18.75" x14ac:dyDescent="0.3">
      <c r="A13" s="553"/>
      <c r="B13" s="533" t="s">
        <v>44</v>
      </c>
      <c r="C13" s="534"/>
      <c r="D13" s="535"/>
      <c r="E13" s="548">
        <f>+(C7*Resumen!G5)</f>
        <v>15829483.315388037</v>
      </c>
      <c r="F13" s="549"/>
      <c r="G13" s="128"/>
    </row>
    <row r="14" spans="1:7" ht="18.75" x14ac:dyDescent="0.3">
      <c r="A14" s="553"/>
      <c r="B14" s="533" t="s">
        <v>27</v>
      </c>
      <c r="C14" s="534"/>
      <c r="D14" s="535"/>
      <c r="E14" s="548">
        <f>+C7*Resumen!G7</f>
        <v>4458051.7553983349</v>
      </c>
      <c r="F14" s="549"/>
      <c r="G14" s="128"/>
    </row>
    <row r="15" spans="1:7" ht="19.5" thickBot="1" x14ac:dyDescent="0.35">
      <c r="A15" s="554"/>
      <c r="B15" s="539" t="s">
        <v>45</v>
      </c>
      <c r="C15" s="540"/>
      <c r="D15" s="541"/>
      <c r="E15" s="550">
        <f>+C7*Resumen!G9</f>
        <v>1421656.795508076</v>
      </c>
      <c r="F15" s="551"/>
      <c r="G15" s="129"/>
    </row>
    <row r="16" spans="1:7" ht="21" x14ac:dyDescent="0.35">
      <c r="A16" s="542" t="s">
        <v>154</v>
      </c>
      <c r="B16" s="543"/>
      <c r="C16" s="543"/>
      <c r="D16" s="543"/>
      <c r="E16" s="543"/>
      <c r="F16" s="544"/>
      <c r="G16" s="125">
        <f>+G9-G11-G12</f>
        <v>4999999.9999999963</v>
      </c>
    </row>
  </sheetData>
  <sheetProtection sheet="1" objects="1" scenarios="1"/>
  <mergeCells count="21">
    <mergeCell ref="A1:G1"/>
    <mergeCell ref="B14:D14"/>
    <mergeCell ref="B15:D15"/>
    <mergeCell ref="A16:F16"/>
    <mergeCell ref="B6:D6"/>
    <mergeCell ref="E13:F13"/>
    <mergeCell ref="E14:F14"/>
    <mergeCell ref="E15:F15"/>
    <mergeCell ref="A2:A15"/>
    <mergeCell ref="E2:G8"/>
    <mergeCell ref="C3:D3"/>
    <mergeCell ref="B9:F9"/>
    <mergeCell ref="C2:D2"/>
    <mergeCell ref="C4:D4"/>
    <mergeCell ref="C5:D5"/>
    <mergeCell ref="C7:D7"/>
    <mergeCell ref="C8:D8"/>
    <mergeCell ref="B10:G10"/>
    <mergeCell ref="B11:F11"/>
    <mergeCell ref="B12:F12"/>
    <mergeCell ref="B13:D13"/>
  </mergeCells>
  <pageMargins left="1.1499999999999999" right="0.70866141732283472" top="1.97" bottom="0.74803149606299213" header="0.31496062992125984" footer="0.31496062992125984"/>
  <pageSetup scale="89" orientation="portrait" horizont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3D52F-54AD-45BA-B4A3-5BCF776F5B32}">
  <dimension ref="A1:K19"/>
  <sheetViews>
    <sheetView workbookViewId="0">
      <selection activeCell="K17" sqref="K17"/>
    </sheetView>
  </sheetViews>
  <sheetFormatPr baseColWidth="10" defaultColWidth="9.140625" defaultRowHeight="15" x14ac:dyDescent="0.25"/>
  <cols>
    <col min="1" max="1" width="11.28515625" customWidth="1"/>
    <col min="2" max="2" width="12" bestFit="1" customWidth="1"/>
    <col min="3" max="3" width="14.140625" bestFit="1" customWidth="1"/>
    <col min="4" max="4" width="18.42578125" customWidth="1"/>
    <col min="5" max="5" width="13" customWidth="1"/>
    <col min="6" max="6" width="12.7109375" bestFit="1" customWidth="1"/>
    <col min="7" max="7" width="11.7109375" customWidth="1"/>
    <col min="8" max="8" width="12" customWidth="1"/>
    <col min="9" max="9" width="16.5703125" customWidth="1"/>
    <col min="10" max="10" width="14.5703125" customWidth="1"/>
    <col min="11" max="11" width="17.5703125" customWidth="1"/>
  </cols>
  <sheetData>
    <row r="1" spans="1:11" ht="47.25" x14ac:dyDescent="0.25">
      <c r="A1" s="166" t="s">
        <v>187</v>
      </c>
      <c r="B1" s="166" t="s">
        <v>195</v>
      </c>
      <c r="C1" s="166" t="s">
        <v>196</v>
      </c>
      <c r="D1" s="166" t="s">
        <v>206</v>
      </c>
      <c r="E1" s="166" t="s">
        <v>202</v>
      </c>
      <c r="F1" s="166" t="s">
        <v>197</v>
      </c>
      <c r="G1" s="166" t="s">
        <v>198</v>
      </c>
      <c r="H1" s="166" t="s">
        <v>199</v>
      </c>
      <c r="I1" s="190" t="s">
        <v>178</v>
      </c>
      <c r="J1" s="190" t="s">
        <v>179</v>
      </c>
      <c r="K1" s="190" t="s">
        <v>208</v>
      </c>
    </row>
    <row r="2" spans="1:11" x14ac:dyDescent="0.25">
      <c r="A2" s="169" t="s">
        <v>188</v>
      </c>
      <c r="B2" s="174">
        <v>25000</v>
      </c>
      <c r="C2" s="174">
        <v>12000</v>
      </c>
      <c r="D2" s="188">
        <f t="shared" ref="D2:D8" si="0">B2-C2</f>
        <v>13000</v>
      </c>
      <c r="E2" s="168">
        <v>0.12</v>
      </c>
      <c r="F2" s="182">
        <f>+D2*E2</f>
        <v>1560</v>
      </c>
      <c r="G2" s="180">
        <f>$E$12*E2</f>
        <v>130.33425946726257</v>
      </c>
      <c r="H2" s="179">
        <f>+$E$14*E2</f>
        <v>237.59682929966482</v>
      </c>
      <c r="I2" s="167">
        <f>G2*B2</f>
        <v>3258356.4866815642</v>
      </c>
      <c r="J2" s="167">
        <f>G2*C2</f>
        <v>1564011.1136071507</v>
      </c>
      <c r="K2" s="167">
        <f t="shared" ref="K2:K8" si="1">G2*D2</f>
        <v>1694345.3730744135</v>
      </c>
    </row>
    <row r="3" spans="1:11" x14ac:dyDescent="0.25">
      <c r="A3" s="169" t="s">
        <v>189</v>
      </c>
      <c r="B3" s="174">
        <v>22000</v>
      </c>
      <c r="C3" s="174">
        <v>8000</v>
      </c>
      <c r="D3" s="188">
        <f t="shared" si="0"/>
        <v>14000</v>
      </c>
      <c r="E3" s="168">
        <v>0.2</v>
      </c>
      <c r="F3" s="182">
        <f t="shared" ref="F3:F8" si="2">+D3*E3</f>
        <v>2800</v>
      </c>
      <c r="G3" s="180">
        <f t="shared" ref="G3:G8" si="3">$E$12*E3</f>
        <v>217.22376577877094</v>
      </c>
      <c r="H3" s="179">
        <f t="shared" ref="H3:H8" si="4">+$E$14*E3</f>
        <v>395.99471549944138</v>
      </c>
      <c r="I3" s="167">
        <f t="shared" ref="I3:I8" si="5">G3*B3</f>
        <v>4778922.8471329603</v>
      </c>
      <c r="J3" s="167">
        <f t="shared" ref="J3:J8" si="6">G3*C3</f>
        <v>1737790.1262301675</v>
      </c>
      <c r="K3" s="167">
        <f t="shared" si="1"/>
        <v>3041132.7209027931</v>
      </c>
    </row>
    <row r="4" spans="1:11" x14ac:dyDescent="0.25">
      <c r="A4" s="169" t="s">
        <v>190</v>
      </c>
      <c r="B4" s="174">
        <v>15000</v>
      </c>
      <c r="C4" s="174">
        <v>6000</v>
      </c>
      <c r="D4" s="188">
        <f t="shared" si="0"/>
        <v>9000</v>
      </c>
      <c r="E4" s="168">
        <v>0.33</v>
      </c>
      <c r="F4" s="182">
        <f t="shared" si="2"/>
        <v>2970</v>
      </c>
      <c r="G4" s="180">
        <f t="shared" si="3"/>
        <v>358.41921353497207</v>
      </c>
      <c r="H4" s="179">
        <f t="shared" si="4"/>
        <v>653.39128057407834</v>
      </c>
      <c r="I4" s="167">
        <f t="shared" si="5"/>
        <v>5376288.2030245811</v>
      </c>
      <c r="J4" s="167">
        <f t="shared" si="6"/>
        <v>2150515.2812098325</v>
      </c>
      <c r="K4" s="167">
        <f t="shared" si="1"/>
        <v>3225772.9218147486</v>
      </c>
    </row>
    <row r="5" spans="1:11" x14ac:dyDescent="0.25">
      <c r="A5" s="169" t="s">
        <v>191</v>
      </c>
      <c r="B5" s="174">
        <v>11000</v>
      </c>
      <c r="C5" s="174">
        <v>5000</v>
      </c>
      <c r="D5" s="188">
        <f t="shared" si="0"/>
        <v>6000</v>
      </c>
      <c r="E5" s="168">
        <v>0.12</v>
      </c>
      <c r="F5" s="182">
        <f t="shared" si="2"/>
        <v>720</v>
      </c>
      <c r="G5" s="180">
        <f t="shared" si="3"/>
        <v>130.33425946726257</v>
      </c>
      <c r="H5" s="179">
        <f t="shared" si="4"/>
        <v>237.59682929966482</v>
      </c>
      <c r="I5" s="167">
        <f t="shared" si="5"/>
        <v>1433676.8541398882</v>
      </c>
      <c r="J5" s="167">
        <f t="shared" si="6"/>
        <v>651671.29733631283</v>
      </c>
      <c r="K5" s="167">
        <f t="shared" si="1"/>
        <v>782005.55680357537</v>
      </c>
    </row>
    <row r="6" spans="1:11" x14ac:dyDescent="0.25">
      <c r="A6" s="169" t="s">
        <v>192</v>
      </c>
      <c r="B6" s="174">
        <v>9000</v>
      </c>
      <c r="C6" s="174">
        <v>4000</v>
      </c>
      <c r="D6" s="188">
        <f t="shared" si="0"/>
        <v>5000</v>
      </c>
      <c r="E6" s="168">
        <v>0.1</v>
      </c>
      <c r="F6" s="182">
        <f t="shared" si="2"/>
        <v>500</v>
      </c>
      <c r="G6" s="180">
        <f t="shared" si="3"/>
        <v>108.61188288938547</v>
      </c>
      <c r="H6" s="179">
        <f t="shared" si="4"/>
        <v>197.99735774972069</v>
      </c>
      <c r="I6" s="167">
        <f t="shared" si="5"/>
        <v>977506.94600446918</v>
      </c>
      <c r="J6" s="167">
        <f t="shared" si="6"/>
        <v>434447.53155754186</v>
      </c>
      <c r="K6" s="167">
        <f t="shared" si="1"/>
        <v>543059.41444692737</v>
      </c>
    </row>
    <row r="7" spans="1:11" x14ac:dyDescent="0.25">
      <c r="A7" s="169" t="s">
        <v>193</v>
      </c>
      <c r="B7" s="174">
        <v>6000</v>
      </c>
      <c r="C7" s="174">
        <v>2000</v>
      </c>
      <c r="D7" s="188">
        <f t="shared" si="0"/>
        <v>4000</v>
      </c>
      <c r="E7" s="168">
        <v>0.05</v>
      </c>
      <c r="F7" s="182">
        <f t="shared" si="2"/>
        <v>200</v>
      </c>
      <c r="G7" s="180">
        <f t="shared" si="3"/>
        <v>54.305941444692735</v>
      </c>
      <c r="H7" s="179">
        <f t="shared" si="4"/>
        <v>98.998678874860346</v>
      </c>
      <c r="I7" s="167">
        <f t="shared" si="5"/>
        <v>325835.64866815641</v>
      </c>
      <c r="J7" s="167">
        <f t="shared" si="6"/>
        <v>108611.88288938547</v>
      </c>
      <c r="K7" s="167">
        <f t="shared" si="1"/>
        <v>217223.76577877093</v>
      </c>
    </row>
    <row r="8" spans="1:11" x14ac:dyDescent="0.25">
      <c r="A8" s="169" t="s">
        <v>194</v>
      </c>
      <c r="B8" s="174">
        <v>4000</v>
      </c>
      <c r="C8" s="174">
        <v>1500</v>
      </c>
      <c r="D8" s="188">
        <f t="shared" si="0"/>
        <v>2500</v>
      </c>
      <c r="E8" s="168">
        <v>0.08</v>
      </c>
      <c r="F8" s="182">
        <f t="shared" si="2"/>
        <v>200</v>
      </c>
      <c r="G8" s="180">
        <f t="shared" si="3"/>
        <v>86.889506311508384</v>
      </c>
      <c r="H8" s="179">
        <f t="shared" si="4"/>
        <v>158.39788619977656</v>
      </c>
      <c r="I8" s="167">
        <f t="shared" si="5"/>
        <v>347558.02524603356</v>
      </c>
      <c r="J8" s="167">
        <f t="shared" si="6"/>
        <v>130334.25946726257</v>
      </c>
      <c r="K8" s="167">
        <f t="shared" si="1"/>
        <v>217223.76577877096</v>
      </c>
    </row>
    <row r="9" spans="1:11" ht="15.75" x14ac:dyDescent="0.25">
      <c r="A9" s="194" t="s">
        <v>10</v>
      </c>
      <c r="B9" s="194"/>
      <c r="C9" s="194"/>
      <c r="D9" s="194"/>
      <c r="E9" s="175">
        <f t="shared" ref="E9" si="7">SUM(E2:E8)</f>
        <v>1</v>
      </c>
      <c r="F9" s="196">
        <f>SUM(F2:F8)</f>
        <v>8950</v>
      </c>
      <c r="G9" s="197">
        <f>SUM(G2:G8)</f>
        <v>1086.1188288938547</v>
      </c>
      <c r="H9" s="191">
        <f>SUM(H2:H8)</f>
        <v>1979.9735774972071</v>
      </c>
      <c r="I9" s="176">
        <f>SUM(I2:I8)</f>
        <v>16498145.010897653</v>
      </c>
      <c r="J9" s="176">
        <f t="shared" ref="J9:K9" si="8">SUM(J2:J8)</f>
        <v>6777381.492297654</v>
      </c>
      <c r="K9" s="176">
        <f t="shared" si="8"/>
        <v>9720763.5185999982</v>
      </c>
    </row>
    <row r="10" spans="1:11" ht="15.75" x14ac:dyDescent="0.25">
      <c r="D10" s="189" t="s">
        <v>180</v>
      </c>
      <c r="E10" s="173">
        <f>+F9</f>
        <v>8950</v>
      </c>
      <c r="F10" s="196"/>
      <c r="G10" s="197"/>
      <c r="H10" s="200" t="s">
        <v>203</v>
      </c>
      <c r="I10" s="187" t="s">
        <v>181</v>
      </c>
      <c r="J10" s="187" t="s">
        <v>182</v>
      </c>
      <c r="K10" s="187" t="s">
        <v>183</v>
      </c>
    </row>
    <row r="11" spans="1:11" x14ac:dyDescent="0.25">
      <c r="D11" s="170" t="s">
        <v>184</v>
      </c>
      <c r="E11" s="171">
        <f>+'PUNTO DE EQUILIBRIO'!G18</f>
        <v>9720763.5186000001</v>
      </c>
      <c r="F11" s="196"/>
      <c r="G11" s="197"/>
      <c r="H11" s="201"/>
      <c r="I11" s="172">
        <f>SUM(I2:I8)</f>
        <v>16498145.010897653</v>
      </c>
      <c r="J11" s="172">
        <f>SUM(J2:J8)</f>
        <v>6777381.492297654</v>
      </c>
      <c r="K11" s="172">
        <f>SUM(K2:K8)</f>
        <v>9720763.5185999982</v>
      </c>
    </row>
    <row r="12" spans="1:11" ht="18.75" x14ac:dyDescent="0.3">
      <c r="D12" s="185" t="s">
        <v>185</v>
      </c>
      <c r="E12" s="193">
        <f>E11/E10</f>
        <v>1086.1188288938547</v>
      </c>
      <c r="F12" s="196"/>
      <c r="G12" s="197"/>
      <c r="H12" s="202"/>
      <c r="I12" s="185" t="s">
        <v>186</v>
      </c>
      <c r="J12" s="198">
        <f>K11-E11</f>
        <v>0</v>
      </c>
      <c r="K12" s="199"/>
    </row>
    <row r="13" spans="1:11" ht="15" customHeight="1" x14ac:dyDescent="0.25">
      <c r="D13" s="177" t="s">
        <v>200</v>
      </c>
      <c r="E13" s="181">
        <v>8000000</v>
      </c>
      <c r="F13" s="196"/>
      <c r="G13" s="197"/>
      <c r="H13" s="203" t="s">
        <v>200</v>
      </c>
      <c r="I13" s="183">
        <f>SUMPRODUCT(H2:H8,B2:B8)</f>
        <v>30075798.642182574</v>
      </c>
      <c r="J13" s="183">
        <f>SUMPRODUCT(H2:H8,C2:C8)</f>
        <v>12355035.123582572</v>
      </c>
      <c r="K13" s="183">
        <f>+I13-J13</f>
        <v>17720763.518600002</v>
      </c>
    </row>
    <row r="14" spans="1:11" ht="18.75" x14ac:dyDescent="0.3">
      <c r="D14" s="185" t="s">
        <v>201</v>
      </c>
      <c r="E14" s="193">
        <f>+(E11+E13)/E10</f>
        <v>1979.9735774972069</v>
      </c>
      <c r="F14" s="196"/>
      <c r="G14" s="197"/>
      <c r="H14" s="204"/>
      <c r="I14" s="205" t="s">
        <v>205</v>
      </c>
      <c r="J14" s="206"/>
      <c r="K14" s="184">
        <f>+E11</f>
        <v>9720763.5186000001</v>
      </c>
    </row>
    <row r="15" spans="1:11" ht="18.75" x14ac:dyDescent="0.3">
      <c r="D15" s="195" t="s">
        <v>207</v>
      </c>
      <c r="E15" s="195"/>
      <c r="F15" s="196"/>
      <c r="G15" s="197"/>
      <c r="H15" s="204"/>
      <c r="I15" s="207" t="s">
        <v>204</v>
      </c>
      <c r="J15" s="208"/>
      <c r="K15" s="186">
        <f>+K13-K14</f>
        <v>8000000.0000000019</v>
      </c>
    </row>
    <row r="16" spans="1:11" x14ac:dyDescent="0.25">
      <c r="I16" s="178"/>
    </row>
    <row r="19" spans="8:8" x14ac:dyDescent="0.25">
      <c r="H19" s="192"/>
    </row>
  </sheetData>
  <mergeCells count="9">
    <mergeCell ref="A9:D9"/>
    <mergeCell ref="D15:E15"/>
    <mergeCell ref="F9:F15"/>
    <mergeCell ref="G9:G15"/>
    <mergeCell ref="J12:K12"/>
    <mergeCell ref="H10:H12"/>
    <mergeCell ref="H13:H15"/>
    <mergeCell ref="I14:J14"/>
    <mergeCell ref="I15:J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Receta Estandar</vt:lpstr>
      <vt:lpstr>Receta Estandar Principal</vt:lpstr>
      <vt:lpstr>R. E. C 1</vt:lpstr>
      <vt:lpstr>R. E. C 2</vt:lpstr>
      <vt:lpstr>R. E. C  3</vt:lpstr>
      <vt:lpstr>R. E. C  4</vt:lpstr>
      <vt:lpstr>R. E. C  5</vt:lpstr>
      <vt:lpstr>R. E. C  6</vt:lpstr>
      <vt:lpstr>R. E. C  7</vt:lpstr>
      <vt:lpstr>Mano de obra</vt:lpstr>
      <vt:lpstr>CIS</vt:lpstr>
      <vt:lpstr>Resumen</vt:lpstr>
      <vt:lpstr>PUNTO DE EQUILIBRIO</vt:lpstr>
      <vt:lpstr>Utilidad Proyectada</vt:lpstr>
      <vt:lpstr>PE Unidades</vt:lpstr>
    </vt:vector>
  </TitlesOfParts>
  <Company>Hogar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Omega</dc:creator>
  <cp:lastModifiedBy>Jairo Omar Alzate Gaviria</cp:lastModifiedBy>
  <cp:lastPrinted>2014-11-13T16:42:09Z</cp:lastPrinted>
  <dcterms:created xsi:type="dcterms:W3CDTF">2008-11-19T13:23:06Z</dcterms:created>
  <dcterms:modified xsi:type="dcterms:W3CDTF">2026-05-22T17:39:19Z</dcterms:modified>
</cp:coreProperties>
</file>