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USB Copia\Costos Arte Culinario y Dulce\"/>
    </mc:Choice>
  </mc:AlternateContent>
  <xr:revisionPtr revIDLastSave="0" documentId="8_{2C3C82C9-6862-4019-818B-90B8A76FEE6C}" xr6:coauthVersionLast="36" xr6:coauthVersionMax="36" xr10:uidLastSave="{00000000-0000-0000-0000-000000000000}"/>
  <bookViews>
    <workbookView xWindow="0" yWindow="0" windowWidth="28800" windowHeight="12105" firstSheet="1" activeTab="1" xr2:uid="{00000000-000D-0000-FFFF-FFFF00000000}"/>
  </bookViews>
  <sheets>
    <sheet name="Receta Estandar" sheetId="8" state="hidden" r:id="rId1"/>
    <sheet name="Receta Estandar Principal" sheetId="13" r:id="rId2"/>
    <sheet name="R. E. C 1" sheetId="15" r:id="rId3"/>
    <sheet name="R. E. C 2" sheetId="14" r:id="rId4"/>
    <sheet name="R. E. C  3" sheetId="16" r:id="rId5"/>
    <sheet name="R. E. C  4" sheetId="17" r:id="rId6"/>
    <sheet name="R. E. C  5" sheetId="18" state="hidden" r:id="rId7"/>
    <sheet name="R. E. C  6" sheetId="19" state="hidden" r:id="rId8"/>
    <sheet name="R. E. C  7" sheetId="20" state="hidden" r:id="rId9"/>
    <sheet name="Mano de obra" sheetId="2" r:id="rId10"/>
    <sheet name="CIS" sheetId="3" r:id="rId11"/>
    <sheet name="Resumen" sheetId="4" r:id="rId12"/>
    <sheet name="PUNTO DE EQUILIBRIO" sheetId="5" r:id="rId13"/>
    <sheet name="Utilidad Proyectada" sheetId="6" r:id="rId14"/>
    <sheet name="VARIOS pRODUCTOS" sheetId="7" state="hidden" r:id="rId15"/>
  </sheets>
  <calcPr calcId="191029"/>
</workbook>
</file>

<file path=xl/calcChain.xml><?xml version="1.0" encoding="utf-8"?>
<calcChain xmlns="http://schemas.openxmlformats.org/spreadsheetml/2006/main">
  <c r="D25" i="2" l="1"/>
  <c r="H5" i="2"/>
  <c r="H6" i="2"/>
  <c r="H7" i="2"/>
  <c r="H8" i="2"/>
  <c r="H9" i="2"/>
  <c r="H10" i="2"/>
  <c r="H11" i="2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7" i="13"/>
  <c r="D6" i="2" l="1"/>
  <c r="D7" i="2"/>
  <c r="D8" i="2"/>
  <c r="D9" i="2"/>
  <c r="D10" i="2"/>
  <c r="D11" i="2"/>
  <c r="D5" i="2"/>
  <c r="D4" i="2"/>
  <c r="E4" i="2"/>
  <c r="E6" i="2" s="1"/>
  <c r="E5" i="2"/>
  <c r="I18" i="17"/>
  <c r="I17" i="17"/>
  <c r="I16" i="17"/>
  <c r="I15" i="17"/>
  <c r="I14" i="17"/>
  <c r="I13" i="17"/>
  <c r="I12" i="17"/>
  <c r="I11" i="17"/>
  <c r="I10" i="17"/>
  <c r="I9" i="17"/>
  <c r="I8" i="17"/>
  <c r="I7" i="17"/>
  <c r="I18" i="16"/>
  <c r="I17" i="16"/>
  <c r="I16" i="16"/>
  <c r="I15" i="16"/>
  <c r="I14" i="16"/>
  <c r="I13" i="16"/>
  <c r="I12" i="16"/>
  <c r="I11" i="16"/>
  <c r="I10" i="16"/>
  <c r="I9" i="16"/>
  <c r="I8" i="16"/>
  <c r="I7" i="16"/>
  <c r="I18" i="14"/>
  <c r="I17" i="14"/>
  <c r="I16" i="14"/>
  <c r="I15" i="14"/>
  <c r="I14" i="14"/>
  <c r="I13" i="14"/>
  <c r="I12" i="14"/>
  <c r="I11" i="14"/>
  <c r="I10" i="14"/>
  <c r="I9" i="14"/>
  <c r="I8" i="14"/>
  <c r="I7" i="14"/>
  <c r="I8" i="15"/>
  <c r="I9" i="15"/>
  <c r="I10" i="15"/>
  <c r="I11" i="15"/>
  <c r="I12" i="15"/>
  <c r="I13" i="15"/>
  <c r="I14" i="15"/>
  <c r="I15" i="15"/>
  <c r="I16" i="15"/>
  <c r="I17" i="15"/>
  <c r="I18" i="15"/>
  <c r="I7" i="15"/>
  <c r="I8" i="13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9" i="13"/>
  <c r="I7" i="13"/>
  <c r="B8" i="5" l="1"/>
  <c r="B6" i="5"/>
  <c r="B7" i="5"/>
  <c r="F6" i="2"/>
  <c r="F7" i="2"/>
  <c r="F8" i="2"/>
  <c r="F9" i="2"/>
  <c r="F10" i="2"/>
  <c r="F11" i="2"/>
  <c r="M15" i="13" l="1"/>
  <c r="M16" i="13"/>
  <c r="M17" i="13"/>
  <c r="M18" i="13"/>
  <c r="M19" i="13"/>
  <c r="M20" i="13"/>
  <c r="M21" i="13"/>
  <c r="M22" i="13"/>
  <c r="M23" i="13"/>
  <c r="M24" i="13"/>
  <c r="M25" i="13"/>
  <c r="M26" i="13"/>
  <c r="B35" i="13" l="1"/>
  <c r="B34" i="13"/>
  <c r="B33" i="13"/>
  <c r="H34" i="13"/>
  <c r="I34" i="13"/>
  <c r="H35" i="13"/>
  <c r="I35" i="13"/>
  <c r="I18" i="20"/>
  <c r="I17" i="20"/>
  <c r="I16" i="20"/>
  <c r="I15" i="20"/>
  <c r="I14" i="20"/>
  <c r="I13" i="20"/>
  <c r="I12" i="20"/>
  <c r="I11" i="20"/>
  <c r="I10" i="20"/>
  <c r="I9" i="20"/>
  <c r="I8" i="20"/>
  <c r="I7" i="20"/>
  <c r="I18" i="19"/>
  <c r="I17" i="19"/>
  <c r="I16" i="19"/>
  <c r="I15" i="19"/>
  <c r="I14" i="19"/>
  <c r="I13" i="19"/>
  <c r="I12" i="19"/>
  <c r="I11" i="19"/>
  <c r="I10" i="19"/>
  <c r="I9" i="19"/>
  <c r="I8" i="19"/>
  <c r="I7" i="19"/>
  <c r="I18" i="18"/>
  <c r="I17" i="18"/>
  <c r="I16" i="18"/>
  <c r="I15" i="18"/>
  <c r="I14" i="18"/>
  <c r="I13" i="18"/>
  <c r="I12" i="18"/>
  <c r="I11" i="18"/>
  <c r="I10" i="18"/>
  <c r="I9" i="18"/>
  <c r="I8" i="18"/>
  <c r="M18" i="20" l="1"/>
  <c r="M17" i="20"/>
  <c r="M16" i="20"/>
  <c r="M15" i="20"/>
  <c r="M14" i="20"/>
  <c r="M13" i="20"/>
  <c r="M12" i="20"/>
  <c r="M11" i="20"/>
  <c r="M10" i="20"/>
  <c r="M9" i="20"/>
  <c r="M8" i="20"/>
  <c r="M18" i="19"/>
  <c r="M17" i="19"/>
  <c r="M16" i="19"/>
  <c r="M15" i="19"/>
  <c r="M14" i="19"/>
  <c r="M13" i="19"/>
  <c r="M12" i="19"/>
  <c r="M11" i="19"/>
  <c r="M10" i="19"/>
  <c r="M9" i="19"/>
  <c r="M8" i="19"/>
  <c r="M18" i="18"/>
  <c r="M17" i="18"/>
  <c r="M16" i="18"/>
  <c r="M15" i="18"/>
  <c r="M14" i="18"/>
  <c r="M13" i="18"/>
  <c r="M12" i="18"/>
  <c r="M11" i="18"/>
  <c r="M10" i="18"/>
  <c r="M9" i="18"/>
  <c r="M8" i="18"/>
  <c r="M18" i="17"/>
  <c r="M17" i="17"/>
  <c r="M16" i="17"/>
  <c r="M15" i="17"/>
  <c r="M14" i="17"/>
  <c r="M13" i="17"/>
  <c r="M12" i="17"/>
  <c r="M11" i="17"/>
  <c r="M10" i="17"/>
  <c r="M9" i="17"/>
  <c r="M8" i="17"/>
  <c r="M18" i="16"/>
  <c r="M17" i="16"/>
  <c r="M16" i="16"/>
  <c r="M15" i="16"/>
  <c r="M14" i="16"/>
  <c r="M13" i="16"/>
  <c r="M12" i="16"/>
  <c r="M11" i="16"/>
  <c r="M10" i="16"/>
  <c r="M9" i="16"/>
  <c r="M8" i="16"/>
  <c r="M18" i="14"/>
  <c r="M17" i="14"/>
  <c r="M16" i="14"/>
  <c r="M15" i="14"/>
  <c r="M14" i="14"/>
  <c r="M13" i="14"/>
  <c r="M12" i="14"/>
  <c r="M11" i="14"/>
  <c r="M10" i="14"/>
  <c r="M9" i="14"/>
  <c r="M8" i="14"/>
  <c r="M13" i="13" l="1"/>
  <c r="M12" i="13"/>
  <c r="M7" i="16"/>
  <c r="M7" i="15"/>
  <c r="M8" i="15"/>
  <c r="M9" i="15"/>
  <c r="M10" i="15"/>
  <c r="M11" i="15"/>
  <c r="M12" i="15"/>
  <c r="M13" i="15"/>
  <c r="M14" i="15"/>
  <c r="M15" i="15"/>
  <c r="M16" i="15"/>
  <c r="M17" i="15"/>
  <c r="M18" i="15"/>
  <c r="I7" i="18" l="1"/>
  <c r="M7" i="18" s="1"/>
  <c r="M19" i="18" l="1"/>
  <c r="M33" i="13" s="1"/>
  <c r="B32" i="13"/>
  <c r="B31" i="13"/>
  <c r="B30" i="13"/>
  <c r="B29" i="13"/>
  <c r="M19" i="16" l="1"/>
  <c r="M31" i="13" s="1"/>
  <c r="M64" i="13"/>
  <c r="I30" i="13"/>
  <c r="I31" i="13"/>
  <c r="I32" i="13"/>
  <c r="I33" i="13"/>
  <c r="M19" i="15" l="1"/>
  <c r="M29" i="13" s="1"/>
  <c r="B12" i="5" l="1"/>
  <c r="B13" i="5"/>
  <c r="G30" i="3"/>
  <c r="G24" i="3"/>
  <c r="G25" i="3"/>
  <c r="G26" i="3"/>
  <c r="G27" i="3"/>
  <c r="G28" i="3"/>
  <c r="G12" i="5" s="1"/>
  <c r="G11" i="5"/>
  <c r="B9" i="5"/>
  <c r="B10" i="5"/>
  <c r="B11" i="5"/>
  <c r="L49" i="13"/>
  <c r="H33" i="13"/>
  <c r="H32" i="13"/>
  <c r="J9" i="8" l="1"/>
  <c r="K9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16" i="8"/>
  <c r="K16" i="8" s="1"/>
  <c r="J17" i="8"/>
  <c r="K17" i="8" s="1"/>
  <c r="J18" i="8"/>
  <c r="K18" i="8" s="1"/>
  <c r="J19" i="8"/>
  <c r="K19" i="8" s="1"/>
  <c r="J8" i="8"/>
  <c r="K8" i="8" s="1"/>
  <c r="H8" i="8"/>
  <c r="J41" i="8"/>
  <c r="K40" i="8"/>
  <c r="K41" i="8" s="1"/>
  <c r="J23" i="8"/>
  <c r="K23" i="8" s="1"/>
  <c r="J24" i="8"/>
  <c r="K24" i="8" s="1"/>
  <c r="K48" i="8"/>
  <c r="J22" i="8"/>
  <c r="H19" i="8"/>
  <c r="H11" i="8"/>
  <c r="H10" i="8"/>
  <c r="H9" i="8"/>
  <c r="F5" i="8"/>
  <c r="G20" i="3"/>
  <c r="G21" i="3"/>
  <c r="G8" i="5" s="1"/>
  <c r="G22" i="3"/>
  <c r="G23" i="3"/>
  <c r="G10" i="5" s="1"/>
  <c r="G29" i="3"/>
  <c r="G13" i="5" s="1"/>
  <c r="G19" i="3"/>
  <c r="D49" i="7"/>
  <c r="D48" i="7"/>
  <c r="D47" i="7"/>
  <c r="D46" i="7"/>
  <c r="D45" i="7"/>
  <c r="D44" i="7"/>
  <c r="D43" i="7"/>
  <c r="D38" i="7"/>
  <c r="D37" i="7"/>
  <c r="D36" i="7"/>
  <c r="D35" i="7"/>
  <c r="D34" i="7"/>
  <c r="D33" i="7"/>
  <c r="D32" i="7"/>
  <c r="A10" i="7"/>
  <c r="C6" i="7"/>
  <c r="C8" i="7" s="1"/>
  <c r="D6" i="7"/>
  <c r="D8" i="7" s="1"/>
  <c r="E6" i="7"/>
  <c r="E8" i="7" s="1"/>
  <c r="F6" i="7"/>
  <c r="F8" i="7" s="1"/>
  <c r="G6" i="7"/>
  <c r="G8" i="7" s="1"/>
  <c r="H6" i="7"/>
  <c r="H8" i="7" s="1"/>
  <c r="B6" i="7"/>
  <c r="B8" i="7" s="1"/>
  <c r="F10" i="7" s="1"/>
  <c r="F5" i="2"/>
  <c r="C24" i="2"/>
  <c r="C18" i="2"/>
  <c r="C12" i="2"/>
  <c r="C25" i="2" l="1"/>
  <c r="G31" i="3"/>
  <c r="G6" i="5" s="1"/>
  <c r="G9" i="5"/>
  <c r="B15" i="7"/>
  <c r="C9" i="7"/>
  <c r="C19" i="7" s="1"/>
  <c r="D9" i="7"/>
  <c r="C20" i="7" s="1"/>
  <c r="E9" i="7"/>
  <c r="C21" i="7" s="1"/>
  <c r="F9" i="7"/>
  <c r="C22" i="7" s="1"/>
  <c r="G9" i="7"/>
  <c r="C23" i="7" s="1"/>
  <c r="H9" i="7"/>
  <c r="C24" i="7" s="1"/>
  <c r="B9" i="7"/>
  <c r="C18" i="7" s="1"/>
  <c r="D12" i="2"/>
  <c r="F12" i="2"/>
  <c r="K22" i="8"/>
  <c r="K25" i="8" s="1"/>
  <c r="K20" i="8"/>
  <c r="C27" i="7" l="1"/>
  <c r="H12" i="2"/>
  <c r="D21" i="2" s="1"/>
  <c r="D15" i="2"/>
  <c r="D22" i="2"/>
  <c r="D16" i="2"/>
  <c r="D14" i="2"/>
  <c r="D17" i="2"/>
  <c r="K37" i="8"/>
  <c r="K38" i="8" s="1"/>
  <c r="D20" i="2" l="1"/>
  <c r="D19" i="2"/>
  <c r="H18" i="2"/>
  <c r="D18" i="2"/>
  <c r="K39" i="8"/>
  <c r="H24" i="2" l="1"/>
  <c r="H27" i="2" s="1"/>
  <c r="G7" i="5" s="1"/>
  <c r="G18" i="5" s="1"/>
  <c r="D24" i="2"/>
  <c r="K42" i="8"/>
  <c r="B14" i="7" l="1"/>
  <c r="G27" i="5"/>
  <c r="C3" i="6"/>
  <c r="G11" i="6" s="1"/>
  <c r="F7" i="4"/>
  <c r="K54" i="8"/>
  <c r="K43" i="8"/>
  <c r="K45" i="8" s="1"/>
  <c r="K46" i="8" s="1"/>
  <c r="K47" i="8" s="1"/>
  <c r="K50" i="8" s="1"/>
  <c r="E54" i="7" l="1"/>
  <c r="B16" i="7"/>
  <c r="A18" i="7" s="1"/>
  <c r="K51" i="8"/>
  <c r="K52" i="8" s="1"/>
  <c r="D22" i="7" l="1"/>
  <c r="C36" i="7" s="1"/>
  <c r="D26" i="7"/>
  <c r="D19" i="7"/>
  <c r="C33" i="7" s="1"/>
  <c r="D23" i="7"/>
  <c r="C37" i="7" s="1"/>
  <c r="D18" i="7"/>
  <c r="D25" i="7"/>
  <c r="D20" i="7"/>
  <c r="C34" i="7" s="1"/>
  <c r="D24" i="7"/>
  <c r="C38" i="7" s="1"/>
  <c r="D21" i="7"/>
  <c r="C35" i="7" s="1"/>
  <c r="M7" i="14"/>
  <c r="M19" i="14" s="1"/>
  <c r="M30" i="13" s="1"/>
  <c r="M7" i="17"/>
  <c r="M19" i="17" s="1"/>
  <c r="M32" i="13" s="1"/>
  <c r="M7" i="19"/>
  <c r="M19" i="19" s="1"/>
  <c r="M34" i="13" s="1"/>
  <c r="M7" i="20"/>
  <c r="M19" i="20" s="1"/>
  <c r="M35" i="13" s="1"/>
  <c r="M11" i="13"/>
  <c r="M14" i="13"/>
  <c r="M10" i="13"/>
  <c r="E38" i="7" l="1"/>
  <c r="C49" i="7"/>
  <c r="E49" i="7" s="1"/>
  <c r="C48" i="7"/>
  <c r="E48" i="7" s="1"/>
  <c r="E37" i="7"/>
  <c r="C45" i="7"/>
  <c r="E45" i="7" s="1"/>
  <c r="E34" i="7"/>
  <c r="C44" i="7"/>
  <c r="E44" i="7" s="1"/>
  <c r="E33" i="7"/>
  <c r="E35" i="7"/>
  <c r="C46" i="7"/>
  <c r="E46" i="7" s="1"/>
  <c r="C32" i="7"/>
  <c r="D28" i="7"/>
  <c r="E36" i="7"/>
  <c r="C47" i="7"/>
  <c r="E47" i="7" s="1"/>
  <c r="M36" i="13"/>
  <c r="E32" i="7" l="1"/>
  <c r="E39" i="7" s="1"/>
  <c r="E53" i="7" s="1"/>
  <c r="C43" i="7"/>
  <c r="E43" i="7" s="1"/>
  <c r="E50" i="7" s="1"/>
  <c r="E55" i="7" s="1"/>
  <c r="E56" i="7" l="1"/>
  <c r="M4" i="20"/>
  <c r="L7" i="20" s="1"/>
  <c r="M4" i="14"/>
  <c r="M4" i="17"/>
  <c r="M4" i="16"/>
  <c r="M4" i="15"/>
  <c r="M4" i="19"/>
  <c r="H11" i="19" s="1"/>
  <c r="M4" i="18"/>
  <c r="L15" i="18" s="1"/>
  <c r="M9" i="13"/>
  <c r="L9" i="13" s="1"/>
  <c r="L10" i="13"/>
  <c r="L14" i="13"/>
  <c r="L11" i="13"/>
  <c r="L25" i="13"/>
  <c r="L18" i="13"/>
  <c r="L23" i="13"/>
  <c r="L13" i="13"/>
  <c r="L19" i="13"/>
  <c r="L15" i="13"/>
  <c r="L21" i="13"/>
  <c r="L24" i="13"/>
  <c r="M8" i="13"/>
  <c r="L8" i="13" s="1"/>
  <c r="G7" i="4"/>
  <c r="L17" i="13"/>
  <c r="L20" i="13"/>
  <c r="L12" i="13"/>
  <c r="L16" i="13"/>
  <c r="L22" i="13"/>
  <c r="L26" i="13"/>
  <c r="D5" i="3"/>
  <c r="M7" i="13"/>
  <c r="F11" i="3" l="1"/>
  <c r="F6" i="3"/>
  <c r="F12" i="3"/>
  <c r="F7" i="3"/>
  <c r="F13" i="3"/>
  <c r="F8" i="3"/>
  <c r="F14" i="3"/>
  <c r="F9" i="3"/>
  <c r="F5" i="3"/>
  <c r="F10" i="3"/>
  <c r="H11" i="15"/>
  <c r="H12" i="15"/>
  <c r="H18" i="15"/>
  <c r="H13" i="15"/>
  <c r="H17" i="15"/>
  <c r="H14" i="15"/>
  <c r="H15" i="15"/>
  <c r="H16" i="15"/>
  <c r="H9" i="15"/>
  <c r="H7" i="15"/>
  <c r="H8" i="15"/>
  <c r="H10" i="15"/>
  <c r="H7" i="16"/>
  <c r="H9" i="16"/>
  <c r="H13" i="16"/>
  <c r="H14" i="16"/>
  <c r="H15" i="16"/>
  <c r="H10" i="16"/>
  <c r="H16" i="16"/>
  <c r="H17" i="16"/>
  <c r="H8" i="16"/>
  <c r="H12" i="16"/>
  <c r="H11" i="16"/>
  <c r="H18" i="16"/>
  <c r="H15" i="17"/>
  <c r="H16" i="17"/>
  <c r="H12" i="17"/>
  <c r="H17" i="17"/>
  <c r="H7" i="17"/>
  <c r="H18" i="17"/>
  <c r="H8" i="17"/>
  <c r="H11" i="17"/>
  <c r="H14" i="17"/>
  <c r="H9" i="17"/>
  <c r="H10" i="17"/>
  <c r="H13" i="17"/>
  <c r="H8" i="14"/>
  <c r="H16" i="14"/>
  <c r="H9" i="14"/>
  <c r="H12" i="14"/>
  <c r="H10" i="14"/>
  <c r="H11" i="14"/>
  <c r="H13" i="14"/>
  <c r="H14" i="14"/>
  <c r="H18" i="14"/>
  <c r="H7" i="14"/>
  <c r="H15" i="14"/>
  <c r="H17" i="14"/>
  <c r="L7" i="17"/>
  <c r="L15" i="14"/>
  <c r="L13" i="15"/>
  <c r="L12" i="16"/>
  <c r="L51" i="13"/>
  <c r="M51" i="13" s="1"/>
  <c r="H16" i="19"/>
  <c r="H15" i="19"/>
  <c r="L8" i="19"/>
  <c r="H17" i="19"/>
  <c r="L11" i="19"/>
  <c r="L9" i="18"/>
  <c r="L10" i="15"/>
  <c r="H12" i="18"/>
  <c r="H18" i="18"/>
  <c r="H10" i="18"/>
  <c r="L8" i="18"/>
  <c r="H17" i="18"/>
  <c r="L12" i="19"/>
  <c r="L7" i="13"/>
  <c r="L27" i="13" s="1"/>
  <c r="M27" i="13"/>
  <c r="M48" i="13" s="1"/>
  <c r="L16" i="15"/>
  <c r="L11" i="14"/>
  <c r="H15" i="20"/>
  <c r="L16" i="20"/>
  <c r="H7" i="20"/>
  <c r="L14" i="18"/>
  <c r="H16" i="18"/>
  <c r="H14" i="18"/>
  <c r="H11" i="18"/>
  <c r="L12" i="18"/>
  <c r="L11" i="18"/>
  <c r="H18" i="19"/>
  <c r="L13" i="19"/>
  <c r="H12" i="19"/>
  <c r="H8" i="19"/>
  <c r="H10" i="19"/>
  <c r="L9" i="19"/>
  <c r="L9" i="15"/>
  <c r="L13" i="16"/>
  <c r="L10" i="16"/>
  <c r="L8" i="16"/>
  <c r="L12" i="17"/>
  <c r="L17" i="17"/>
  <c r="L9" i="17"/>
  <c r="L16" i="17"/>
  <c r="L8" i="17"/>
  <c r="L14" i="14"/>
  <c r="L9" i="14"/>
  <c r="L11" i="20"/>
  <c r="L10" i="20"/>
  <c r="L8" i="20"/>
  <c r="L14" i="20"/>
  <c r="H17" i="20"/>
  <c r="H13" i="20"/>
  <c r="L7" i="19"/>
  <c r="L7" i="14"/>
  <c r="L14" i="16"/>
  <c r="L16" i="14"/>
  <c r="L7" i="15"/>
  <c r="H8" i="18"/>
  <c r="L10" i="18"/>
  <c r="L18" i="18"/>
  <c r="L13" i="18"/>
  <c r="H15" i="18"/>
  <c r="L15" i="19"/>
  <c r="H14" i="19"/>
  <c r="L16" i="19"/>
  <c r="H9" i="19"/>
  <c r="L10" i="19"/>
  <c r="L17" i="15"/>
  <c r="L15" i="15"/>
  <c r="L18" i="15"/>
  <c r="L9" i="16"/>
  <c r="L15" i="16"/>
  <c r="L16" i="16"/>
  <c r="L10" i="17"/>
  <c r="L11" i="17"/>
  <c r="L13" i="17"/>
  <c r="L15" i="17"/>
  <c r="L18" i="14"/>
  <c r="L12" i="14"/>
  <c r="L13" i="14"/>
  <c r="H8" i="20"/>
  <c r="H18" i="20"/>
  <c r="L13" i="20"/>
  <c r="H14" i="20"/>
  <c r="L18" i="20"/>
  <c r="L9" i="20"/>
  <c r="L7" i="18"/>
  <c r="L12" i="15"/>
  <c r="L11" i="16"/>
  <c r="L14" i="17"/>
  <c r="L10" i="14"/>
  <c r="L15" i="20"/>
  <c r="L12" i="20"/>
  <c r="L7" i="16"/>
  <c r="H7" i="18"/>
  <c r="L16" i="18"/>
  <c r="H13" i="18"/>
  <c r="H9" i="18"/>
  <c r="L17" i="18"/>
  <c r="L17" i="19"/>
  <c r="L14" i="19"/>
  <c r="H13" i="19"/>
  <c r="L18" i="19"/>
  <c r="H7" i="19"/>
  <c r="L11" i="15"/>
  <c r="L14" i="15"/>
  <c r="L8" i="15"/>
  <c r="L17" i="16"/>
  <c r="L18" i="16"/>
  <c r="L18" i="17"/>
  <c r="L8" i="14"/>
  <c r="L17" i="14"/>
  <c r="H11" i="20"/>
  <c r="H9" i="20"/>
  <c r="H16" i="20"/>
  <c r="H10" i="20"/>
  <c r="L17" i="20"/>
  <c r="H12" i="20"/>
  <c r="F15" i="3" l="1"/>
  <c r="L19" i="20"/>
  <c r="L35" i="13" s="1"/>
  <c r="L19" i="17"/>
  <c r="L32" i="13" s="1"/>
  <c r="L19" i="18"/>
  <c r="L33" i="13" s="1"/>
  <c r="L19" i="15"/>
  <c r="L29" i="13" s="1"/>
  <c r="L19" i="14"/>
  <c r="L30" i="13" s="1"/>
  <c r="M49" i="13"/>
  <c r="M50" i="13"/>
  <c r="L19" i="19"/>
  <c r="L34" i="13" s="1"/>
  <c r="L19" i="16"/>
  <c r="L31" i="13" s="1"/>
  <c r="L36" i="13" l="1"/>
  <c r="F5" i="4"/>
  <c r="G5" i="4" l="1"/>
  <c r="C15" i="3"/>
  <c r="F9" i="4"/>
  <c r="F11" i="4" s="1"/>
  <c r="G9" i="4" l="1"/>
  <c r="G11" i="4" s="1"/>
  <c r="C5" i="6" s="1"/>
  <c r="L52" i="13" l="1"/>
  <c r="M52" i="13" s="1"/>
  <c r="M53" i="13" s="1"/>
  <c r="M54" i="13" s="1"/>
  <c r="M56" i="13" s="1"/>
  <c r="M57" i="13" s="1"/>
  <c r="M58" i="13" s="1"/>
  <c r="M60" i="13" s="1"/>
  <c r="C18" i="4"/>
  <c r="E18" i="4" s="1"/>
  <c r="C24" i="5" s="1"/>
  <c r="G20" i="5" s="1"/>
  <c r="C23" i="5" s="1"/>
  <c r="M61" i="13" l="1"/>
  <c r="M62" i="13" s="1"/>
  <c r="M65" i="13"/>
  <c r="C4" i="6"/>
  <c r="E2" i="6" s="1"/>
  <c r="C7" i="6" s="1"/>
  <c r="E31" i="5"/>
  <c r="E30" i="5"/>
  <c r="F25" i="5"/>
  <c r="E29" i="5"/>
  <c r="C8" i="6" l="1"/>
  <c r="G9" i="6" s="1"/>
  <c r="G28" i="5"/>
  <c r="G32" i="5" s="1"/>
  <c r="E13" i="6"/>
  <c r="E14" i="6"/>
  <c r="E15" i="6"/>
  <c r="G12" i="6" l="1"/>
  <c r="G16" i="6" s="1"/>
</calcChain>
</file>

<file path=xl/sharedStrings.xml><?xml version="1.0" encoding="utf-8"?>
<sst xmlns="http://schemas.openxmlformats.org/spreadsheetml/2006/main" count="465" uniqueCount="215">
  <si>
    <t>DETALLE</t>
  </si>
  <si>
    <t>CANTIDAD A PRODUCIR</t>
  </si>
  <si>
    <t>Costo Unitario de producción</t>
  </si>
  <si>
    <t>MANO DE OBRA DIRECTA</t>
  </si>
  <si>
    <t>SALARIOS DIRECTOS</t>
  </si>
  <si>
    <t>NOMBRE EMPLEADO</t>
  </si>
  <si>
    <t>BASICO MES</t>
  </si>
  <si>
    <t>AUXILIO TRANS</t>
  </si>
  <si>
    <t>SALARIO BÁSICO</t>
  </si>
  <si>
    <t>TOTAL DEVENGADO</t>
  </si>
  <si>
    <t>TOTALES</t>
  </si>
  <si>
    <t>FACTOR PRESTACIONAL Y SEGURIDAD SOCIAL</t>
  </si>
  <si>
    <t>CONCEPTO</t>
  </si>
  <si>
    <t>%</t>
  </si>
  <si>
    <t>VALOR</t>
  </si>
  <si>
    <t>TOTAL FACTOR PRESTACIONAL</t>
  </si>
  <si>
    <t>EPS</t>
  </si>
  <si>
    <t>AFP</t>
  </si>
  <si>
    <t>AP. PARAFISCALES</t>
  </si>
  <si>
    <t>TOTAL SEGURIDAD SOC.</t>
  </si>
  <si>
    <t>PRIMA</t>
  </si>
  <si>
    <t>CESANTÍAS</t>
  </si>
  <si>
    <t>INTERES CESANTIAS</t>
  </si>
  <si>
    <t>VACACIONES</t>
  </si>
  <si>
    <t>TOTAL PRESTACIONES SOC.</t>
  </si>
  <si>
    <t>SUBT. FACTOR PRESTACIONAL</t>
  </si>
  <si>
    <t>TOTAL MANO DE OBRA + FACTOR PRESTACIONAL</t>
  </si>
  <si>
    <t>TOTAL CIF</t>
  </si>
  <si>
    <t>Mano de obra</t>
  </si>
  <si>
    <t>CIF (Costo indirecto de producción)</t>
  </si>
  <si>
    <t>Total costo de producción</t>
  </si>
  <si>
    <t>RESUMEN GENERAL   DE COSTO UNITARIO</t>
  </si>
  <si>
    <t xml:space="preserve">PRECIO DE VENTA </t>
  </si>
  <si>
    <t>costo unitario variable</t>
  </si>
  <si>
    <t>% de utilidad deseada</t>
  </si>
  <si>
    <t>PUNTO DE EQUILIBRIO</t>
  </si>
  <si>
    <t>Relación de costos y gastos fijos por mes:</t>
  </si>
  <si>
    <t>Arrendamiento</t>
  </si>
  <si>
    <t>Punto de equibrio en unidades</t>
  </si>
  <si>
    <t>PUNTO DE EQUILIBRIO EN $</t>
  </si>
  <si>
    <t>CANTIDAD</t>
  </si>
  <si>
    <t>Precio de venta</t>
  </si>
  <si>
    <t>TOTAL VENTAS DEL MES</t>
  </si>
  <si>
    <t>Menos:</t>
  </si>
  <si>
    <t>costos fijos del mes</t>
  </si>
  <si>
    <t>Materias primas</t>
  </si>
  <si>
    <t>Cif</t>
  </si>
  <si>
    <t>Utilidad o pérdida bruta</t>
  </si>
  <si>
    <t>Unidades a producir y vender</t>
  </si>
  <si>
    <t>Total Costos y gastos fijos</t>
  </si>
  <si>
    <t>Precio de venta del producto</t>
  </si>
  <si>
    <t>PROYECCIÓN DE UTILIDADES</t>
  </si>
  <si>
    <t>Costo unitario variable</t>
  </si>
  <si>
    <t>Utilidad bruta</t>
  </si>
  <si>
    <t>% de ventas</t>
  </si>
  <si>
    <t>REF. B</t>
  </si>
  <si>
    <t>REF. A</t>
  </si>
  <si>
    <t>REF. C</t>
  </si>
  <si>
    <t>REF. D</t>
  </si>
  <si>
    <t>REF. E</t>
  </si>
  <si>
    <t>REF. F</t>
  </si>
  <si>
    <t>REF. G</t>
  </si>
  <si>
    <t>TOTAL COSTOS Y GASTOS FIFOS</t>
  </si>
  <si>
    <t>TOTAL PUNTO DE EQUILIBRIO</t>
  </si>
  <si>
    <t>TOTAL DISTRIBUCIÓN POR REFERENCIA</t>
  </si>
  <si>
    <t>TOTAL PROMEDIO MÁRGEN DE CONTRIBUCIÓN</t>
  </si>
  <si>
    <t>Promedio márgen de contrib. Unitario</t>
  </si>
  <si>
    <t>PRECIO DE VENTA</t>
  </si>
  <si>
    <t>COSTO UNITARIO</t>
  </si>
  <si>
    <t>RESUMEN DE VENTAS</t>
  </si>
  <si>
    <t>TOTAL VENTAS</t>
  </si>
  <si>
    <t>CANT.</t>
  </si>
  <si>
    <t>REFERENCIA</t>
  </si>
  <si>
    <t xml:space="preserve">TOTAL VENTAS </t>
  </si>
  <si>
    <t>RESUMEN DE COSTOS</t>
  </si>
  <si>
    <t>RESUMEN GENERAL</t>
  </si>
  <si>
    <t>VENTAS TOTALES</t>
  </si>
  <si>
    <t>COSTOS Y GASTOS FIJOS</t>
  </si>
  <si>
    <t>COSTOS VARIABLES DE PRODUCCIÓN</t>
  </si>
  <si>
    <t>TOTAL COSTOS</t>
  </si>
  <si>
    <t>UTILIDAD O PERDIDA OPERACIONAL</t>
  </si>
  <si>
    <t>PUNTO DE EQUILIBRIO PARA VARIAS LÍNEAS DE PRODUCTO</t>
  </si>
  <si>
    <t xml:space="preserve">TOTAL COSTOS </t>
  </si>
  <si>
    <t>CIF VARIABLES (Producto)</t>
  </si>
  <si>
    <t>TOTAL</t>
  </si>
  <si>
    <t>SUBTOTAL CIF FIJOS</t>
  </si>
  <si>
    <t>CONCEPTOS</t>
  </si>
  <si>
    <t>Dotación</t>
  </si>
  <si>
    <t>RESTAURANTE EL CORRIENTASO</t>
  </si>
  <si>
    <t>RECETA ESTÁNDAR(PLATO FUERTE)</t>
  </si>
  <si>
    <t>NOMBRE DE LA PREPARACIÓN:</t>
  </si>
  <si>
    <t>ABADEJO A LA PLANCHA ACOMPAÑADO DE PAPAS SALADAS</t>
  </si>
  <si>
    <t>Categoría</t>
  </si>
  <si>
    <t>Código</t>
  </si>
  <si>
    <t>RECETA N°</t>
  </si>
  <si>
    <t>País</t>
  </si>
  <si>
    <t>Fecha</t>
  </si>
  <si>
    <t>N°. De porciones</t>
  </si>
  <si>
    <t>PREPARACIÓN PRINCIPAL</t>
  </si>
  <si>
    <t>INGREDIENTES</t>
  </si>
  <si>
    <t>Cant. Por porcion</t>
  </si>
  <si>
    <t>Unidad de Medida</t>
  </si>
  <si>
    <t>Cantidad total requerida en Grs.</t>
  </si>
  <si>
    <t>Costo cotizado</t>
  </si>
  <si>
    <t>Costo Por Porción</t>
  </si>
  <si>
    <t>VALOR TOTAL</t>
  </si>
  <si>
    <t>Abadejo (pescado)</t>
  </si>
  <si>
    <t>Grs</t>
  </si>
  <si>
    <t>Sal</t>
  </si>
  <si>
    <t xml:space="preserve">Mantequilla </t>
  </si>
  <si>
    <t>Aceite de oliva</t>
  </si>
  <si>
    <t>ml</t>
  </si>
  <si>
    <t>Pimienta</t>
  </si>
  <si>
    <t>Cebollín</t>
  </si>
  <si>
    <t>TOTAL COSTO DE LOS INSUMOS DE PRODUCCIÓN</t>
  </si>
  <si>
    <t>CÓD.</t>
  </si>
  <si>
    <t>ACOMPAÑANTES</t>
  </si>
  <si>
    <t>Papas saladas</t>
  </si>
  <si>
    <t>COSTO ACOMPAÑANTES</t>
  </si>
  <si>
    <t>P R E P A R A C I Ó N</t>
  </si>
  <si>
    <t>Medio de Cocción</t>
  </si>
  <si>
    <t>Tipo de Cocción</t>
  </si>
  <si>
    <t>Método  de Cocción</t>
  </si>
  <si>
    <t>Técnica de Cocción</t>
  </si>
  <si>
    <t>Tiempo de preparación:</t>
  </si>
  <si>
    <t>COSTEO</t>
  </si>
  <si>
    <t>COSTO TOTAL DE LA MATERIA PRIMA</t>
  </si>
  <si>
    <t>MARGEN DE ERROR O VARIACIÓN en % (merma)</t>
  </si>
  <si>
    <t>PRECIO POTENCIAL DE VENTA DE UNA PORCIÓN</t>
  </si>
  <si>
    <t>IVA</t>
  </si>
  <si>
    <t xml:space="preserve">PRECIO POTENCIAL DE VENTA CON IVA </t>
  </si>
  <si>
    <t>PESO PORCIÓN GRAMOS</t>
  </si>
  <si>
    <t>C O S T O S  PA R A  L A C A R T A</t>
  </si>
  <si>
    <t>Precio para la Carta de Cada Porción (por redondeo)</t>
  </si>
  <si>
    <t>Precio Real de Venta de Una Porción</t>
  </si>
  <si>
    <t>IVA Generado al vender cada porción</t>
  </si>
  <si>
    <t>O T R O S D A T O S   A D M I N I S T R A T I V O S</t>
  </si>
  <si>
    <t>% Real de Costo de Materia Prima</t>
  </si>
  <si>
    <t>Presentación</t>
  </si>
  <si>
    <t>Kilo</t>
  </si>
  <si>
    <t>Libra</t>
  </si>
  <si>
    <t>Litro</t>
  </si>
  <si>
    <t xml:space="preserve">MANO DE OBRA DIRECTA </t>
  </si>
  <si>
    <t>COSTO INDIRECTO DEL SERVICIO</t>
  </si>
  <si>
    <t>TOTAL COSTO DE PRODUCCIÓN</t>
  </si>
  <si>
    <t>Valor Unidad</t>
  </si>
  <si>
    <t>Valor Unidad CIS</t>
  </si>
  <si>
    <t>% DE GANANCIA ESTABLECIDO POR LA GERENCIA</t>
  </si>
  <si>
    <t>sal</t>
  </si>
  <si>
    <t>IMAGEN</t>
  </si>
  <si>
    <t>COSTO   DE MATERIA PRIMA</t>
  </si>
  <si>
    <t>COSTO UNITARIO DE PRODUCCIÓN</t>
  </si>
  <si>
    <t>cc</t>
  </si>
  <si>
    <t>N°. de porciones</t>
  </si>
  <si>
    <t>Presentación Comercial</t>
  </si>
  <si>
    <t>MARGEN DE ERROR O VARIACIÓN en % (merma, procesos de limpieza y cocción)</t>
  </si>
  <si>
    <t>% de merma</t>
  </si>
  <si>
    <t>Servicio públicos</t>
  </si>
  <si>
    <t>Mantenimiento y Reparac</t>
  </si>
  <si>
    <t>VALOR CIS  REQUERIDO POR UNIDAD</t>
  </si>
  <si>
    <t>COSTO TOTAL CIS</t>
  </si>
  <si>
    <t>IMPUESTO AL CONSUMO</t>
  </si>
  <si>
    <t>Impuesto al consuo generado al vender cada porción</t>
  </si>
  <si>
    <t>Presupuesto de compras</t>
  </si>
  <si>
    <t>PRECIO POTENCIAL DE VENTA CON EL IMPUESTO AL CONSUMO</t>
  </si>
  <si>
    <t>Precio de venta proyectado por redondeo</t>
  </si>
  <si>
    <t>Cis</t>
  </si>
  <si>
    <t>Total Costos y Gastos Fijos</t>
  </si>
  <si>
    <t>COSTOS VARIABLES</t>
  </si>
  <si>
    <t>CIS</t>
  </si>
  <si>
    <t>RECETA ESTÁNDA COMPLEMENTARIA</t>
  </si>
  <si>
    <t>Peso porción en gramos</t>
  </si>
  <si>
    <t>RECETA ESTÁNDAR (PLATO FUERTE)</t>
  </si>
  <si>
    <t xml:space="preserve">RECETA N° </t>
  </si>
  <si>
    <t>TOTAL COSTO ACOMPAÑANTES</t>
  </si>
  <si>
    <t>ARL</t>
  </si>
  <si>
    <t>DIAS / HORAS TRAB.</t>
  </si>
  <si>
    <t>Estella</t>
  </si>
  <si>
    <t>Pedro</t>
  </si>
  <si>
    <t>COSTOS INDIRECTOS DEL SERVICIO (CIS)</t>
  </si>
  <si>
    <t>SUBTOTAL CIS VARIABLES</t>
  </si>
  <si>
    <t xml:space="preserve">CIS FIJOS </t>
  </si>
  <si>
    <t>Materia Prima  (Insumos de producción)</t>
  </si>
  <si>
    <t>Costos fijos del mes</t>
  </si>
  <si>
    <t>Costos variables:</t>
  </si>
  <si>
    <t>Utilidad o pérdida proyectada</t>
  </si>
  <si>
    <t>Utilidad proyectada</t>
  </si>
  <si>
    <t>CUADRO PARA PROYECCIÓN DE UTILIDADES</t>
  </si>
  <si>
    <t>A25</t>
  </si>
  <si>
    <t>RESTAURANTE EL CORRIENTAZO</t>
  </si>
  <si>
    <t>Cantidad Total Neta requerida</t>
  </si>
  <si>
    <t>COSTO TOTAL DEMATERIAS PRIMAS</t>
  </si>
  <si>
    <t>% de Merma</t>
  </si>
  <si>
    <t>Cantidad Total Neta Requerida</t>
  </si>
  <si>
    <t>Presupuesto de Compras</t>
  </si>
  <si>
    <t>Precio de Compra</t>
  </si>
  <si>
    <t>Cant. Por Porcion</t>
  </si>
  <si>
    <t>COSTO TOTAL DE LOS INGREDIENTES</t>
  </si>
  <si>
    <t>Carne de res</t>
  </si>
  <si>
    <t>Ajo</t>
  </si>
  <si>
    <t>Aseo y cafeteria</t>
  </si>
  <si>
    <t>Empaques</t>
  </si>
  <si>
    <t>Honorarios</t>
  </si>
  <si>
    <t>% Rendimiento</t>
  </si>
  <si>
    <t>% de Rendim.</t>
  </si>
  <si>
    <t>DATOS BÁSICOS ANUALIZADOS</t>
  </si>
  <si>
    <t>Salario Mínimo Año 2026</t>
  </si>
  <si>
    <t>Auxilio De transporte Año 2026</t>
  </si>
  <si>
    <t>Horas trabajadas al mes</t>
  </si>
  <si>
    <t>Aceite</t>
  </si>
  <si>
    <t>HORAS EXTRAS Y RECARGOS</t>
  </si>
  <si>
    <t>Total Cif Variables x Unidad</t>
  </si>
  <si>
    <t>Seguros</t>
  </si>
  <si>
    <t>Materia Prima Indirecta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</si>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</sst>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.00\ _€_-;\-* #,##0.00\ _€_-;_-* &quot;-&quot;??\ _€_-;_-@_-"/>
    <numFmt numFmtId="165" formatCode="&quot;$&quot;\ #,##0_);[Red]\(&quot;$&quot;\ #,##0\)"/>
    <numFmt numFmtId="166" formatCode="_(&quot;$&quot;\ * #,##0_);_(&quot;$&quot;\ * \(#,##0\);_(&quot;$&quot;\ * &quot;-&quot;_);_(@_)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(* #,##0_);_(* \(#,##0\);_(* &quot;-&quot;??_);_(@_)"/>
    <numFmt numFmtId="170" formatCode="0.000%"/>
    <numFmt numFmtId="171" formatCode="_-* #,##0\ _€_-;\-* #,##0\ _€_-;_-* &quot;-&quot;??\ _€_-;_-@_-"/>
    <numFmt numFmtId="172" formatCode="_(&quot;$&quot;\ * #,##0_);_(&quot;$&quot;\ * \(#,##0\);_(&quot;$&quot;\ * &quot;-&quot;??_);_(@_)"/>
    <numFmt numFmtId="173" formatCode="_(* #,##0.0_);_(* \(#,##0.0\);_(* &quot;-&quot;??_);_(@_)"/>
    <numFmt numFmtId="174" formatCode="_(* #,##0.000_);_(* \(#,##0.000\);_(* &quot;-&quot;???_);_(@_)"/>
    <numFmt numFmtId="175" formatCode="_(* #,##0_);_(* \(#,##0\);_(* &quot;-&quot;?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3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Calibri"/>
      <family val="2"/>
    </font>
    <font>
      <b/>
      <sz val="20"/>
      <color rgb="FF000000"/>
      <name val="Buxton Sketch"/>
      <family val="4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sz val="22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rgb="FF000000"/>
      <name val="Arial"/>
      <family val="2"/>
    </font>
    <font>
      <b/>
      <sz val="11"/>
      <color theme="1"/>
      <name val="Calibri"/>
      <family val="2"/>
    </font>
    <font>
      <b/>
      <sz val="36"/>
      <color theme="1"/>
      <name val="Calibri"/>
      <family val="2"/>
      <scheme val="minor"/>
    </font>
    <font>
      <sz val="12"/>
      <color theme="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gray125">
        <bgColor theme="4" tint="0.59999389629810485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6" tint="0.79998168889431442"/>
        <bgColor rgb="FF000000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04">
    <xf numFmtId="0" fontId="0" fillId="0" borderId="0" xfId="0"/>
    <xf numFmtId="0" fontId="0" fillId="0" borderId="1" xfId="0" applyBorder="1" applyProtection="1">
      <protection locked="0"/>
    </xf>
    <xf numFmtId="0" fontId="0" fillId="1" borderId="1" xfId="0" applyFill="1" applyBorder="1" applyProtection="1">
      <protection locked="0"/>
    </xf>
    <xf numFmtId="169" fontId="3" fillId="1" borderId="1" xfId="1" applyNumberFormat="1" applyFont="1" applyFill="1" applyBorder="1" applyAlignment="1" applyProtection="1">
      <alignment horizontal="center"/>
    </xf>
    <xf numFmtId="10" fontId="0" fillId="0" borderId="1" xfId="0" applyNumberFormat="1" applyBorder="1" applyProtection="1">
      <protection locked="0"/>
    </xf>
    <xf numFmtId="170" fontId="0" fillId="0" borderId="1" xfId="0" applyNumberFormat="1" applyBorder="1" applyProtection="1">
      <protection locked="0"/>
    </xf>
    <xf numFmtId="0" fontId="2" fillId="1" borderId="1" xfId="0" applyFont="1" applyFill="1" applyBorder="1" applyProtection="1">
      <protection locked="0"/>
    </xf>
    <xf numFmtId="10" fontId="2" fillId="1" borderId="1" xfId="0" applyNumberFormat="1" applyFont="1" applyFill="1" applyBorder="1" applyProtection="1">
      <protection locked="0"/>
    </xf>
    <xf numFmtId="169" fontId="3" fillId="1" borderId="1" xfId="0" applyNumberFormat="1" applyFont="1" applyFill="1" applyBorder="1"/>
    <xf numFmtId="0" fontId="0" fillId="0" borderId="2" xfId="0" applyBorder="1" applyProtection="1">
      <protection locked="0"/>
    </xf>
    <xf numFmtId="0" fontId="4" fillId="1" borderId="1" xfId="0" applyFont="1" applyFill="1" applyBorder="1" applyProtection="1">
      <protection locked="0"/>
    </xf>
    <xf numFmtId="169" fontId="4" fillId="1" borderId="1" xfId="1" applyNumberFormat="1" applyFont="1" applyFill="1" applyBorder="1" applyAlignment="1" applyProtection="1">
      <alignment horizontal="center"/>
    </xf>
    <xf numFmtId="169" fontId="3" fillId="0" borderId="1" xfId="0" applyNumberFormat="1" applyFont="1" applyBorder="1"/>
    <xf numFmtId="0" fontId="0" fillId="0" borderId="0" xfId="0" applyProtection="1"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Protection="1">
      <protection locked="0"/>
    </xf>
    <xf numFmtId="171" fontId="6" fillId="0" borderId="1" xfId="1" applyNumberFormat="1" applyFont="1" applyBorder="1" applyAlignment="1" applyProtection="1">
      <alignment horizontal="center"/>
      <protection locked="0"/>
    </xf>
    <xf numFmtId="0" fontId="5" fillId="4" borderId="1" xfId="0" applyFont="1" applyFill="1" applyBorder="1" applyProtection="1">
      <protection locked="0"/>
    </xf>
    <xf numFmtId="9" fontId="6" fillId="0" borderId="1" xfId="4" applyFont="1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0" fontId="2" fillId="0" borderId="1" xfId="0" applyFont="1" applyBorder="1" applyProtection="1">
      <protection locked="0"/>
    </xf>
    <xf numFmtId="0" fontId="5" fillId="0" borderId="0" xfId="0" applyFont="1" applyProtection="1">
      <protection locked="0"/>
    </xf>
    <xf numFmtId="9" fontId="1" fillId="0" borderId="0" xfId="4" applyFont="1" applyBorder="1" applyProtection="1">
      <protection locked="0"/>
    </xf>
    <xf numFmtId="0" fontId="2" fillId="0" borderId="0" xfId="0" applyFont="1" applyProtection="1">
      <protection locked="0"/>
    </xf>
    <xf numFmtId="172" fontId="5" fillId="0" borderId="0" xfId="2" applyNumberFormat="1" applyFont="1" applyBorder="1" applyProtection="1">
      <protection locked="0"/>
    </xf>
    <xf numFmtId="0" fontId="7" fillId="0" borderId="1" xfId="0" applyFont="1" applyBorder="1" applyProtection="1">
      <protection locked="0"/>
    </xf>
    <xf numFmtId="171" fontId="7" fillId="0" borderId="1" xfId="0" applyNumberFormat="1" applyFont="1" applyBorder="1"/>
    <xf numFmtId="171" fontId="3" fillId="4" borderId="1" xfId="0" applyNumberFormat="1" applyFont="1" applyFill="1" applyBorder="1"/>
    <xf numFmtId="171" fontId="8" fillId="0" borderId="1" xfId="0" applyNumberFormat="1" applyFont="1" applyBorder="1"/>
    <xf numFmtId="172" fontId="5" fillId="4" borderId="1" xfId="2" applyNumberFormat="1" applyFont="1" applyFill="1" applyBorder="1" applyProtection="1"/>
    <xf numFmtId="171" fontId="5" fillId="4" borderId="1" xfId="1" applyNumberFormat="1" applyFont="1" applyFill="1" applyBorder="1" applyAlignment="1" applyProtection="1">
      <alignment horizontal="center"/>
    </xf>
    <xf numFmtId="171" fontId="5" fillId="0" borderId="1" xfId="1" applyNumberFormat="1" applyFont="1" applyBorder="1" applyAlignment="1" applyProtection="1">
      <alignment horizontal="center"/>
    </xf>
    <xf numFmtId="171" fontId="5" fillId="0" borderId="3" xfId="1" applyNumberFormat="1" applyFont="1" applyBorder="1" applyAlignment="1" applyProtection="1">
      <alignment horizontal="center"/>
    </xf>
    <xf numFmtId="9" fontId="7" fillId="0" borderId="1" xfId="4" applyFont="1" applyBorder="1" applyProtection="1"/>
    <xf numFmtId="171" fontId="7" fillId="0" borderId="1" xfId="1" applyNumberFormat="1" applyFont="1" applyBorder="1" applyProtection="1"/>
    <xf numFmtId="0" fontId="7" fillId="4" borderId="1" xfId="0" applyFont="1" applyFill="1" applyBorder="1" applyAlignment="1" applyProtection="1">
      <alignment horizontal="center"/>
      <protection locked="0"/>
    </xf>
    <xf numFmtId="169" fontId="0" fillId="0" borderId="0" xfId="0" applyNumberFormat="1" applyProtection="1">
      <protection locked="0"/>
    </xf>
    <xf numFmtId="169" fontId="1" fillId="2" borderId="1" xfId="1" applyNumberFormat="1" applyFont="1" applyFill="1" applyBorder="1" applyAlignment="1" applyProtection="1">
      <alignment horizontal="center"/>
      <protection locked="0"/>
    </xf>
    <xf numFmtId="169" fontId="1" fillId="2" borderId="1" xfId="1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7" fillId="0" borderId="1" xfId="0" applyFont="1" applyBorder="1"/>
    <xf numFmtId="171" fontId="5" fillId="4" borderId="1" xfId="0" applyNumberFormat="1" applyFont="1" applyFill="1" applyBorder="1"/>
    <xf numFmtId="0" fontId="9" fillId="0" borderId="0" xfId="0" applyFont="1"/>
    <xf numFmtId="0" fontId="10" fillId="5" borderId="5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5" borderId="6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right" vertical="center"/>
    </xf>
    <xf numFmtId="0" fontId="13" fillId="5" borderId="1" xfId="0" applyFont="1" applyFill="1" applyBorder="1" applyAlignment="1">
      <alignment horizontal="left" vertical="center"/>
    </xf>
    <xf numFmtId="169" fontId="13" fillId="5" borderId="1" xfId="1" applyNumberFormat="1" applyFont="1" applyFill="1" applyBorder="1" applyAlignment="1">
      <alignment horizontal="left" vertical="center"/>
    </xf>
    <xf numFmtId="169" fontId="13" fillId="5" borderId="1" xfId="1" applyNumberFormat="1" applyFont="1" applyFill="1" applyBorder="1" applyAlignment="1">
      <alignment horizontal="right" vertical="center"/>
    </xf>
    <xf numFmtId="169" fontId="13" fillId="5" borderId="10" xfId="1" applyNumberFormat="1" applyFont="1" applyFill="1" applyBorder="1" applyAlignment="1">
      <alignment horizontal="right" vertical="center"/>
    </xf>
    <xf numFmtId="168" fontId="13" fillId="5" borderId="1" xfId="1" applyNumberFormat="1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7" fontId="11" fillId="6" borderId="6" xfId="2" applyFont="1" applyFill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5" borderId="1" xfId="0" applyFont="1" applyFill="1" applyBorder="1" applyAlignment="1">
      <alignment horizontal="right" vertical="center"/>
    </xf>
    <xf numFmtId="10" fontId="10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/>
    <xf numFmtId="0" fontId="12" fillId="6" borderId="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vertical="center"/>
    </xf>
    <xf numFmtId="165" fontId="11" fillId="6" borderId="10" xfId="0" applyNumberFormat="1" applyFont="1" applyFill="1" applyBorder="1" applyAlignment="1">
      <alignment horizontal="right" vertical="center"/>
    </xf>
    <xf numFmtId="171" fontId="10" fillId="5" borderId="1" xfId="1" applyNumberFormat="1" applyFont="1" applyFill="1" applyBorder="1" applyAlignment="1">
      <alignment horizontal="right" vertical="center"/>
    </xf>
    <xf numFmtId="171" fontId="10" fillId="0" borderId="10" xfId="1" applyNumberFormat="1" applyFont="1" applyFill="1" applyBorder="1" applyAlignment="1">
      <alignment horizontal="right" vertical="center"/>
    </xf>
    <xf numFmtId="171" fontId="12" fillId="10" borderId="10" xfId="1" applyNumberFormat="1" applyFont="1" applyFill="1" applyBorder="1" applyAlignment="1">
      <alignment horizontal="right" vertical="center" indent="1"/>
    </xf>
    <xf numFmtId="9" fontId="12" fillId="10" borderId="10" xfId="4" applyFont="1" applyFill="1" applyBorder="1" applyAlignment="1">
      <alignment horizontal="right" vertical="center" indent="1"/>
    </xf>
    <xf numFmtId="171" fontId="12" fillId="11" borderId="10" xfId="1" applyNumberFormat="1" applyFont="1" applyFill="1" applyBorder="1" applyAlignment="1">
      <alignment horizontal="right" vertical="center" indent="1"/>
    </xf>
    <xf numFmtId="171" fontId="10" fillId="12" borderId="10" xfId="1" applyNumberFormat="1" applyFont="1" applyFill="1" applyBorder="1" applyAlignment="1">
      <alignment horizontal="right" vertical="center"/>
    </xf>
    <xf numFmtId="0" fontId="10" fillId="10" borderId="13" xfId="0" applyFont="1" applyFill="1" applyBorder="1" applyAlignment="1">
      <alignment vertical="center"/>
    </xf>
    <xf numFmtId="0" fontId="10" fillId="10" borderId="11" xfId="0" applyFont="1" applyFill="1" applyBorder="1" applyAlignment="1">
      <alignment vertical="center"/>
    </xf>
    <xf numFmtId="165" fontId="9" fillId="0" borderId="0" xfId="0" applyNumberFormat="1" applyFont="1"/>
    <xf numFmtId="1" fontId="10" fillId="10" borderId="3" xfId="0" applyNumberFormat="1" applyFont="1" applyFill="1" applyBorder="1" applyAlignment="1">
      <alignment vertical="center"/>
    </xf>
    <xf numFmtId="9" fontId="15" fillId="0" borderId="1" xfId="0" applyNumberFormat="1" applyFont="1" applyBorder="1" applyAlignment="1">
      <alignment horizontal="center" vertical="center"/>
    </xf>
    <xf numFmtId="171" fontId="10" fillId="9" borderId="10" xfId="1" applyNumberFormat="1" applyFont="1" applyFill="1" applyBorder="1" applyAlignment="1">
      <alignment horizontal="right" vertical="center"/>
    </xf>
    <xf numFmtId="0" fontId="14" fillId="6" borderId="10" xfId="0" applyFont="1" applyFill="1" applyBorder="1" applyAlignment="1">
      <alignment vertical="center"/>
    </xf>
    <xf numFmtId="9" fontId="16" fillId="0" borderId="41" xfId="0" applyNumberFormat="1" applyFont="1" applyBorder="1" applyAlignment="1">
      <alignment horizontal="right" vertical="center"/>
    </xf>
    <xf numFmtId="169" fontId="13" fillId="13" borderId="1" xfId="1" applyNumberFormat="1" applyFont="1" applyFill="1" applyBorder="1" applyAlignment="1">
      <alignment horizontal="right" vertical="center"/>
    </xf>
    <xf numFmtId="0" fontId="13" fillId="13" borderId="1" xfId="0" applyFont="1" applyFill="1" applyBorder="1" applyAlignment="1">
      <alignment horizontal="right" vertical="center"/>
    </xf>
    <xf numFmtId="0" fontId="10" fillId="13" borderId="2" xfId="0" applyFont="1" applyFill="1" applyBorder="1" applyAlignment="1">
      <alignment horizontal="center" vertical="center" wrapText="1"/>
    </xf>
    <xf numFmtId="168" fontId="9" fillId="0" borderId="0" xfId="0" applyNumberFormat="1" applyFont="1"/>
    <xf numFmtId="169" fontId="9" fillId="0" borderId="0" xfId="0" applyNumberFormat="1" applyFont="1"/>
    <xf numFmtId="174" fontId="9" fillId="0" borderId="0" xfId="0" applyNumberFormat="1" applyFont="1"/>
    <xf numFmtId="164" fontId="9" fillId="0" borderId="0" xfId="1" applyFont="1" applyFill="1" applyBorder="1"/>
    <xf numFmtId="171" fontId="4" fillId="0" borderId="1" xfId="1" applyNumberFormat="1" applyFont="1" applyBorder="1" applyProtection="1"/>
    <xf numFmtId="169" fontId="3" fillId="14" borderId="1" xfId="1" applyNumberFormat="1" applyFont="1" applyFill="1" applyBorder="1" applyProtection="1"/>
    <xf numFmtId="172" fontId="3" fillId="14" borderId="1" xfId="2" applyNumberFormat="1" applyFont="1" applyFill="1" applyBorder="1" applyProtection="1"/>
    <xf numFmtId="167" fontId="4" fillId="14" borderId="1" xfId="2" applyFont="1" applyFill="1" applyBorder="1" applyProtection="1"/>
    <xf numFmtId="0" fontId="2" fillId="14" borderId="1" xfId="0" applyFont="1" applyFill="1" applyBorder="1" applyAlignment="1" applyProtection="1">
      <alignment horizontal="center" vertical="center"/>
      <protection locked="0"/>
    </xf>
    <xf numFmtId="166" fontId="3" fillId="14" borderId="11" xfId="3" applyFont="1" applyFill="1" applyBorder="1" applyAlignment="1" applyProtection="1">
      <alignment vertical="center"/>
    </xf>
    <xf numFmtId="171" fontId="1" fillId="0" borderId="1" xfId="1" applyNumberFormat="1" applyFont="1" applyBorder="1" applyProtection="1"/>
    <xf numFmtId="172" fontId="3" fillId="15" borderId="1" xfId="2" applyNumberFormat="1" applyFont="1" applyFill="1" applyBorder="1" applyProtection="1"/>
    <xf numFmtId="0" fontId="12" fillId="16" borderId="7" xfId="0" applyFont="1" applyFill="1" applyBorder="1" applyAlignment="1">
      <alignment horizontal="left" vertical="center" wrapText="1"/>
    </xf>
    <xf numFmtId="0" fontId="12" fillId="16" borderId="8" xfId="0" applyFont="1" applyFill="1" applyBorder="1" applyAlignment="1">
      <alignment horizontal="center" vertical="center" wrapText="1"/>
    </xf>
    <xf numFmtId="169" fontId="3" fillId="15" borderId="1" xfId="1" applyNumberFormat="1" applyFont="1" applyFill="1" applyBorder="1" applyProtection="1"/>
    <xf numFmtId="169" fontId="4" fillId="14" borderId="1" xfId="1" applyNumberFormat="1" applyFont="1" applyFill="1" applyBorder="1" applyProtection="1"/>
    <xf numFmtId="0" fontId="0" fillId="14" borderId="1" xfId="0" applyFill="1" applyBorder="1" applyProtection="1">
      <protection locked="0"/>
    </xf>
    <xf numFmtId="169" fontId="5" fillId="17" borderId="1" xfId="0" applyNumberFormat="1" applyFont="1" applyFill="1" applyBorder="1"/>
    <xf numFmtId="169" fontId="3" fillId="17" borderId="1" xfId="0" applyNumberFormat="1" applyFont="1" applyFill="1" applyBorder="1" applyAlignment="1">
      <alignment horizontal="center"/>
    </xf>
    <xf numFmtId="9" fontId="7" fillId="0" borderId="1" xfId="0" applyNumberFormat="1" applyFont="1" applyBorder="1"/>
    <xf numFmtId="9" fontId="5" fillId="0" borderId="1" xfId="4" applyFont="1" applyBorder="1" applyAlignment="1" applyProtection="1">
      <alignment horizontal="center"/>
    </xf>
    <xf numFmtId="0" fontId="12" fillId="16" borderId="2" xfId="0" applyFont="1" applyFill="1" applyBorder="1" applyAlignment="1">
      <alignment horizontal="center" vertical="center" wrapText="1"/>
    </xf>
    <xf numFmtId="169" fontId="1" fillId="0" borderId="1" xfId="1" applyNumberFormat="1" applyFont="1" applyBorder="1" applyAlignment="1" applyProtection="1">
      <alignment horizontal="center"/>
    </xf>
    <xf numFmtId="22" fontId="12" fillId="16" borderId="33" xfId="0" applyNumberFormat="1" applyFont="1" applyFill="1" applyBorder="1" applyAlignment="1">
      <alignment vertical="center"/>
    </xf>
    <xf numFmtId="0" fontId="29" fillId="14" borderId="1" xfId="0" applyFont="1" applyFill="1" applyBorder="1" applyAlignment="1">
      <alignment vertical="center"/>
    </xf>
    <xf numFmtId="0" fontId="12" fillId="16" borderId="1" xfId="0" applyFont="1" applyFill="1" applyBorder="1" applyAlignment="1">
      <alignment horizontal="center" vertical="center"/>
    </xf>
    <xf numFmtId="171" fontId="11" fillId="10" borderId="1" xfId="1" applyNumberFormat="1" applyFont="1" applyFill="1" applyBorder="1" applyAlignment="1">
      <alignment vertical="center"/>
    </xf>
    <xf numFmtId="0" fontId="12" fillId="16" borderId="1" xfId="0" applyFont="1" applyFill="1" applyBorder="1" applyAlignment="1">
      <alignment horizontal="left" vertical="center"/>
    </xf>
    <xf numFmtId="0" fontId="12" fillId="16" borderId="1" xfId="0" applyFont="1" applyFill="1" applyBorder="1" applyAlignment="1">
      <alignment horizontal="center" vertical="center" wrapText="1"/>
    </xf>
    <xf numFmtId="0" fontId="13" fillId="0" borderId="9" xfId="0" applyFont="1" applyBorder="1" applyAlignment="1" applyProtection="1">
      <alignment horizontal="right" vertical="center"/>
      <protection locked="0"/>
    </xf>
    <xf numFmtId="0" fontId="13" fillId="5" borderId="1" xfId="0" applyFont="1" applyFill="1" applyBorder="1" applyAlignment="1" applyProtection="1">
      <alignment horizontal="center" vertical="center"/>
      <protection locked="0"/>
    </xf>
    <xf numFmtId="0" fontId="13" fillId="5" borderId="1" xfId="0" applyFont="1" applyFill="1" applyBorder="1" applyAlignment="1" applyProtection="1">
      <alignment horizontal="left" vertical="center"/>
      <protection locked="0"/>
    </xf>
    <xf numFmtId="9" fontId="13" fillId="5" borderId="1" xfId="4" applyFont="1" applyFill="1" applyBorder="1" applyAlignment="1" applyProtection="1">
      <alignment horizontal="center" vertical="center"/>
      <protection locked="0"/>
    </xf>
    <xf numFmtId="169" fontId="13" fillId="16" borderId="1" xfId="1" applyNumberFormat="1" applyFont="1" applyFill="1" applyBorder="1" applyAlignment="1" applyProtection="1">
      <alignment horizontal="right" vertical="center"/>
      <protection locked="0"/>
    </xf>
    <xf numFmtId="0" fontId="13" fillId="16" borderId="1" xfId="0" applyFont="1" applyFill="1" applyBorder="1" applyAlignment="1" applyProtection="1">
      <alignment horizontal="right" vertical="center"/>
      <protection locked="0"/>
    </xf>
    <xf numFmtId="173" fontId="24" fillId="16" borderId="1" xfId="0" applyNumberFormat="1" applyFont="1" applyFill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horizontal="right" vertical="center"/>
      <protection locked="0"/>
    </xf>
    <xf numFmtId="0" fontId="10" fillId="10" borderId="13" xfId="0" applyFont="1" applyFill="1" applyBorder="1" applyAlignment="1" applyProtection="1">
      <alignment vertical="center"/>
      <protection locked="0"/>
    </xf>
    <xf numFmtId="0" fontId="10" fillId="10" borderId="11" xfId="0" applyFont="1" applyFill="1" applyBorder="1" applyAlignment="1" applyProtection="1">
      <alignment vertical="center"/>
      <protection locked="0"/>
    </xf>
    <xf numFmtId="9" fontId="11" fillId="10" borderId="10" xfId="4" applyFont="1" applyFill="1" applyBorder="1" applyAlignment="1" applyProtection="1">
      <alignment horizontal="right" vertical="center" indent="1"/>
      <protection locked="0"/>
    </xf>
    <xf numFmtId="9" fontId="9" fillId="0" borderId="1" xfId="0" applyNumberFormat="1" applyFont="1" applyBorder="1" applyProtection="1">
      <protection locked="0"/>
    </xf>
    <xf numFmtId="9" fontId="25" fillId="0" borderId="1" xfId="0" applyNumberFormat="1" applyFont="1" applyBorder="1" applyAlignment="1" applyProtection="1">
      <alignment horizontal="center" vertical="center"/>
      <protection locked="0"/>
    </xf>
    <xf numFmtId="171" fontId="13" fillId="5" borderId="1" xfId="1" applyNumberFormat="1" applyFont="1" applyFill="1" applyBorder="1" applyAlignment="1" applyProtection="1">
      <alignment horizontal="center" vertical="center"/>
    </xf>
    <xf numFmtId="173" fontId="13" fillId="5" borderId="1" xfId="1" applyNumberFormat="1" applyFont="1" applyFill="1" applyBorder="1" applyAlignment="1" applyProtection="1">
      <alignment horizontal="right" vertical="center"/>
    </xf>
    <xf numFmtId="169" fontId="13" fillId="16" borderId="10" xfId="1" applyNumberFormat="1" applyFont="1" applyFill="1" applyBorder="1" applyAlignment="1" applyProtection="1">
      <alignment horizontal="right" vertical="center"/>
    </xf>
    <xf numFmtId="172" fontId="11" fillId="16" borderId="6" xfId="2" applyNumberFormat="1" applyFont="1" applyFill="1" applyBorder="1" applyAlignment="1" applyProtection="1">
      <alignment horizontal="left" vertical="center"/>
    </xf>
    <xf numFmtId="165" fontId="11" fillId="16" borderId="10" xfId="0" applyNumberFormat="1" applyFont="1" applyFill="1" applyBorder="1" applyAlignment="1">
      <alignment horizontal="right" vertical="center"/>
    </xf>
    <xf numFmtId="171" fontId="24" fillId="9" borderId="10" xfId="1" applyNumberFormat="1" applyFont="1" applyFill="1" applyBorder="1" applyAlignment="1" applyProtection="1">
      <alignment horizontal="right" vertical="center"/>
    </xf>
    <xf numFmtId="171" fontId="10" fillId="0" borderId="10" xfId="1" applyNumberFormat="1" applyFont="1" applyFill="1" applyBorder="1" applyAlignment="1" applyProtection="1">
      <alignment horizontal="right" vertical="center"/>
    </xf>
    <xf numFmtId="9" fontId="10" fillId="0" borderId="1" xfId="0" applyNumberFormat="1" applyFont="1" applyBorder="1" applyAlignment="1">
      <alignment horizontal="center" vertical="center"/>
    </xf>
    <xf numFmtId="171" fontId="12" fillId="10" borderId="10" xfId="1" applyNumberFormat="1" applyFont="1" applyFill="1" applyBorder="1" applyAlignment="1" applyProtection="1">
      <alignment horizontal="right" vertical="center" indent="1"/>
    </xf>
    <xf numFmtId="171" fontId="24" fillId="16" borderId="10" xfId="1" applyNumberFormat="1" applyFont="1" applyFill="1" applyBorder="1" applyAlignment="1" applyProtection="1">
      <alignment horizontal="right" vertical="center" indent="1"/>
    </xf>
    <xf numFmtId="171" fontId="12" fillId="16" borderId="10" xfId="1" applyNumberFormat="1" applyFont="1" applyFill="1" applyBorder="1" applyAlignment="1" applyProtection="1">
      <alignment horizontal="right" vertical="center" indent="1"/>
    </xf>
    <xf numFmtId="171" fontId="11" fillId="0" borderId="10" xfId="1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vertical="center" wrapText="1"/>
    </xf>
    <xf numFmtId="171" fontId="10" fillId="0" borderId="1" xfId="1" applyNumberFormat="1" applyFont="1" applyFill="1" applyBorder="1" applyAlignment="1" applyProtection="1">
      <alignment vertical="center" wrapText="1"/>
    </xf>
    <xf numFmtId="171" fontId="12" fillId="16" borderId="1" xfId="1" applyNumberFormat="1" applyFont="1" applyFill="1" applyBorder="1" applyAlignment="1" applyProtection="1">
      <alignment vertical="center"/>
    </xf>
    <xf numFmtId="173" fontId="24" fillId="16" borderId="1" xfId="0" applyNumberFormat="1" applyFont="1" applyFill="1" applyBorder="1" applyAlignment="1">
      <alignment vertical="center"/>
    </xf>
    <xf numFmtId="0" fontId="2" fillId="18" borderId="1" xfId="0" applyFont="1" applyFill="1" applyBorder="1" applyAlignment="1" applyProtection="1">
      <alignment horizontal="center" vertical="center"/>
      <protection locked="0"/>
    </xf>
    <xf numFmtId="169" fontId="2" fillId="18" borderId="1" xfId="1" applyNumberFormat="1" applyFont="1" applyFill="1" applyBorder="1" applyAlignment="1" applyProtection="1">
      <alignment horizontal="center" vertical="center"/>
      <protection locked="0"/>
    </xf>
    <xf numFmtId="0" fontId="2" fillId="18" borderId="1" xfId="0" applyFont="1" applyFill="1" applyBorder="1" applyAlignment="1" applyProtection="1">
      <alignment horizontal="center" vertical="center" wrapText="1"/>
      <protection locked="0"/>
    </xf>
    <xf numFmtId="0" fontId="2" fillId="14" borderId="1" xfId="0" applyFont="1" applyFill="1" applyBorder="1" applyAlignment="1" applyProtection="1">
      <alignment horizontal="center" vertical="center" wrapText="1"/>
      <protection locked="0"/>
    </xf>
    <xf numFmtId="169" fontId="2" fillId="14" borderId="1" xfId="1" applyNumberFormat="1" applyFont="1" applyFill="1" applyBorder="1" applyProtection="1">
      <protection locked="0"/>
    </xf>
    <xf numFmtId="169" fontId="4" fillId="14" borderId="1" xfId="0" applyNumberFormat="1" applyFont="1" applyFill="1" applyBorder="1"/>
    <xf numFmtId="0" fontId="4" fillId="0" borderId="1" xfId="0" applyFont="1" applyBorder="1" applyProtection="1">
      <protection locked="0"/>
    </xf>
    <xf numFmtId="169" fontId="4" fillId="0" borderId="1" xfId="1" applyNumberFormat="1" applyFont="1" applyBorder="1" applyProtection="1">
      <protection locked="0"/>
    </xf>
    <xf numFmtId="0" fontId="0" fillId="0" borderId="1" xfId="0" applyBorder="1"/>
    <xf numFmtId="0" fontId="3" fillId="14" borderId="1" xfId="0" applyFont="1" applyFill="1" applyBorder="1" applyProtection="1">
      <protection locked="0"/>
    </xf>
    <xf numFmtId="0" fontId="7" fillId="0" borderId="4" xfId="0" applyFont="1" applyBorder="1" applyProtection="1">
      <protection locked="0"/>
    </xf>
    <xf numFmtId="172" fontId="5" fillId="14" borderId="34" xfId="2" applyNumberFormat="1" applyFont="1" applyFill="1" applyBorder="1" applyProtection="1"/>
    <xf numFmtId="169" fontId="3" fillId="18" borderId="10" xfId="0" applyNumberFormat="1" applyFont="1" applyFill="1" applyBorder="1"/>
    <xf numFmtId="169" fontId="8" fillId="0" borderId="10" xfId="1" applyNumberFormat="1" applyFont="1" applyBorder="1" applyProtection="1"/>
    <xf numFmtId="169" fontId="8" fillId="0" borderId="10" xfId="1" applyNumberFormat="1" applyFont="1" applyBorder="1" applyProtection="1">
      <protection locked="0"/>
    </xf>
    <xf numFmtId="169" fontId="8" fillId="0" borderId="41" xfId="1" applyNumberFormat="1" applyFont="1" applyBorder="1" applyProtection="1">
      <protection locked="0"/>
    </xf>
    <xf numFmtId="0" fontId="9" fillId="0" borderId="1" xfId="0" applyFont="1" applyBorder="1" applyProtection="1">
      <protection locked="0"/>
    </xf>
    <xf numFmtId="0" fontId="12" fillId="10" borderId="1" xfId="0" applyFont="1" applyFill="1" applyBorder="1" applyAlignment="1" applyProtection="1">
      <alignment vertical="center" wrapText="1"/>
      <protection locked="0"/>
    </xf>
    <xf numFmtId="22" fontId="12" fillId="5" borderId="1" xfId="0" applyNumberFormat="1" applyFont="1" applyFill="1" applyBorder="1" applyAlignment="1" applyProtection="1">
      <alignment horizontal="center" vertical="center"/>
      <protection locked="0"/>
    </xf>
    <xf numFmtId="22" fontId="12" fillId="5" borderId="51" xfId="0" applyNumberFormat="1" applyFont="1" applyFill="1" applyBorder="1" applyAlignment="1" applyProtection="1">
      <alignment horizontal="center" vertical="center"/>
      <protection locked="0"/>
    </xf>
    <xf numFmtId="173" fontId="13" fillId="16" borderId="1" xfId="1" applyNumberFormat="1" applyFont="1" applyFill="1" applyBorder="1" applyAlignment="1" applyProtection="1">
      <alignment horizontal="right" vertical="center"/>
    </xf>
    <xf numFmtId="0" fontId="10" fillId="0" borderId="13" xfId="0" applyFont="1" applyBorder="1" applyAlignment="1" applyProtection="1">
      <alignment horizontal="right" vertical="center"/>
      <protection locked="0"/>
    </xf>
    <xf numFmtId="0" fontId="9" fillId="0" borderId="0" xfId="0" applyFont="1" applyProtection="1">
      <protection locked="0"/>
    </xf>
    <xf numFmtId="0" fontId="12" fillId="16" borderId="1" xfId="0" applyFont="1" applyFill="1" applyBorder="1" applyAlignment="1" applyProtection="1">
      <alignment horizontal="left" vertical="center"/>
      <protection locked="0"/>
    </xf>
    <xf numFmtId="22" fontId="12" fillId="16" borderId="33" xfId="0" applyNumberFormat="1" applyFont="1" applyFill="1" applyBorder="1" applyAlignment="1" applyProtection="1">
      <alignment vertical="center"/>
      <protection locked="0"/>
    </xf>
    <xf numFmtId="0" fontId="29" fillId="14" borderId="1" xfId="0" applyFont="1" applyFill="1" applyBorder="1" applyAlignment="1" applyProtection="1">
      <alignment vertical="center"/>
      <protection locked="0"/>
    </xf>
    <xf numFmtId="0" fontId="12" fillId="16" borderId="1" xfId="0" applyFont="1" applyFill="1" applyBorder="1" applyAlignment="1" applyProtection="1">
      <alignment horizontal="center" vertical="center"/>
      <protection locked="0"/>
    </xf>
    <xf numFmtId="0" fontId="12" fillId="16" borderId="1" xfId="0" applyFont="1" applyFill="1" applyBorder="1" applyAlignment="1" applyProtection="1">
      <alignment horizontal="center" vertical="center" wrapText="1"/>
      <protection locked="0"/>
    </xf>
    <xf numFmtId="0" fontId="12" fillId="16" borderId="7" xfId="0" applyFont="1" applyFill="1" applyBorder="1" applyAlignment="1" applyProtection="1">
      <alignment horizontal="left" vertical="center" wrapText="1"/>
      <protection locked="0"/>
    </xf>
    <xf numFmtId="0" fontId="12" fillId="16" borderId="2" xfId="0" applyFont="1" applyFill="1" applyBorder="1" applyAlignment="1" applyProtection="1">
      <alignment horizontal="center" vertical="center" wrapText="1"/>
      <protection locked="0"/>
    </xf>
    <xf numFmtId="0" fontId="12" fillId="16" borderId="8" xfId="0" applyFont="1" applyFill="1" applyBorder="1" applyAlignment="1" applyProtection="1">
      <alignment horizontal="center" vertical="center" wrapText="1"/>
      <protection locked="0"/>
    </xf>
    <xf numFmtId="169" fontId="9" fillId="0" borderId="0" xfId="0" applyNumberFormat="1" applyFont="1" applyProtection="1">
      <protection locked="0"/>
    </xf>
    <xf numFmtId="168" fontId="9" fillId="0" borderId="0" xfId="0" applyNumberFormat="1" applyFont="1" applyProtection="1">
      <protection locked="0"/>
    </xf>
    <xf numFmtId="174" fontId="9" fillId="0" borderId="0" xfId="0" applyNumberFormat="1" applyFont="1" applyProtection="1">
      <protection locked="0"/>
    </xf>
    <xf numFmtId="175" fontId="9" fillId="0" borderId="0" xfId="0" applyNumberFormat="1" applyFont="1" applyProtection="1">
      <protection locked="0"/>
    </xf>
    <xf numFmtId="164" fontId="9" fillId="0" borderId="0" xfId="1" applyFont="1" applyFill="1" applyBorder="1" applyProtection="1">
      <protection locked="0"/>
    </xf>
    <xf numFmtId="171" fontId="10" fillId="0" borderId="10" xfId="1" applyNumberFormat="1" applyFont="1" applyFill="1" applyBorder="1" applyAlignment="1" applyProtection="1">
      <alignment horizontal="right" vertical="center"/>
      <protection locked="0"/>
    </xf>
    <xf numFmtId="171" fontId="24" fillId="16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16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0" borderId="10" xfId="1" applyNumberFormat="1" applyFont="1" applyFill="1" applyBorder="1" applyAlignment="1" applyProtection="1">
      <alignment horizontal="right" vertical="center"/>
      <protection locked="0"/>
    </xf>
    <xf numFmtId="9" fontId="16" fillId="0" borderId="41" xfId="0" applyNumberFormat="1" applyFont="1" applyBorder="1" applyAlignment="1" applyProtection="1">
      <alignment horizontal="right" vertical="center"/>
      <protection locked="0"/>
    </xf>
    <xf numFmtId="171" fontId="24" fillId="14" borderId="10" xfId="1" applyNumberFormat="1" applyFont="1" applyFill="1" applyBorder="1" applyAlignment="1" applyProtection="1">
      <alignment horizontal="right" vertical="center"/>
    </xf>
    <xf numFmtId="165" fontId="27" fillId="0" borderId="0" xfId="0" applyNumberFormat="1" applyFont="1"/>
    <xf numFmtId="172" fontId="10" fillId="10" borderId="3" xfId="2" applyNumberFormat="1" applyFont="1" applyFill="1" applyBorder="1" applyAlignment="1" applyProtection="1">
      <alignment vertical="center"/>
    </xf>
    <xf numFmtId="9" fontId="13" fillId="16" borderId="1" xfId="4" applyFont="1" applyFill="1" applyBorder="1" applyAlignment="1" applyProtection="1">
      <alignment horizontal="center" vertical="center"/>
      <protection locked="0"/>
    </xf>
    <xf numFmtId="169" fontId="13" fillId="20" borderId="10" xfId="1" applyNumberFormat="1" applyFont="1" applyFill="1" applyBorder="1" applyAlignment="1" applyProtection="1">
      <alignment horizontal="right" vertical="center"/>
      <protection locked="0"/>
    </xf>
    <xf numFmtId="173" fontId="13" fillId="20" borderId="1" xfId="1" applyNumberFormat="1" applyFont="1" applyFill="1" applyBorder="1" applyAlignment="1" applyProtection="1">
      <alignment horizontal="right" vertical="center"/>
    </xf>
    <xf numFmtId="169" fontId="2" fillId="18" borderId="1" xfId="1" applyNumberFormat="1" applyFont="1" applyFill="1" applyBorder="1" applyAlignment="1" applyProtection="1">
      <alignment horizontal="center" vertical="center"/>
      <protection locked="0"/>
    </xf>
    <xf numFmtId="169" fontId="1" fillId="0" borderId="1" xfId="1" applyNumberFormat="1" applyFont="1" applyBorder="1" applyAlignment="1" applyProtection="1">
      <alignment horizontal="center"/>
    </xf>
    <xf numFmtId="0" fontId="3" fillId="1" borderId="3" xfId="0" applyFont="1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3" fillId="16" borderId="1" xfId="0" applyFont="1" applyFill="1" applyBorder="1" applyAlignment="1" applyProtection="1">
      <alignment horizontal="center" vertical="center"/>
      <protection locked="0"/>
    </xf>
    <xf numFmtId="171" fontId="3" fillId="14" borderId="1" xfId="1" applyNumberFormat="1" applyFont="1" applyFill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3" fillId="14" borderId="2" xfId="0" applyFont="1" applyFill="1" applyBorder="1" applyAlignment="1" applyProtection="1">
      <alignment horizontal="center" vertical="center" wrapText="1"/>
      <protection locked="0"/>
    </xf>
    <xf numFmtId="0" fontId="3" fillId="14" borderId="1" xfId="0" applyFont="1" applyFill="1" applyBorder="1" applyAlignment="1" applyProtection="1">
      <alignment horizontal="center" vertical="center" wrapText="1"/>
      <protection locked="0"/>
    </xf>
    <xf numFmtId="171" fontId="3" fillId="19" borderId="1" xfId="1" applyNumberFormat="1" applyFont="1" applyFill="1" applyBorder="1" applyAlignment="1" applyProtection="1">
      <alignment vertical="center" wrapText="1"/>
      <protection locked="0"/>
    </xf>
    <xf numFmtId="171" fontId="9" fillId="0" borderId="0" xfId="1" applyNumberFormat="1" applyFont="1" applyProtection="1">
      <protection locked="0"/>
    </xf>
    <xf numFmtId="0" fontId="9" fillId="0" borderId="0" xfId="4" applyNumberFormat="1" applyFont="1" applyProtection="1">
      <protection locked="0"/>
    </xf>
    <xf numFmtId="171" fontId="0" fillId="0" borderId="1" xfId="1" applyNumberFormat="1" applyFont="1" applyBorder="1"/>
    <xf numFmtId="169" fontId="4" fillId="1" borderId="1" xfId="0" applyNumberFormat="1" applyFont="1" applyFill="1" applyBorder="1"/>
    <xf numFmtId="169" fontId="4" fillId="1" borderId="33" xfId="0" applyNumberFormat="1" applyFont="1" applyFill="1" applyBorder="1" applyAlignment="1">
      <alignment horizontal="center"/>
    </xf>
    <xf numFmtId="172" fontId="4" fillId="2" borderId="1" xfId="2" applyNumberFormat="1" applyFont="1" applyFill="1" applyBorder="1" applyProtection="1">
      <protection locked="0"/>
    </xf>
    <xf numFmtId="171" fontId="31" fillId="0" borderId="1" xfId="1" applyNumberFormat="1" applyFont="1" applyBorder="1"/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 wrapText="1"/>
    </xf>
    <xf numFmtId="0" fontId="12" fillId="6" borderId="25" xfId="0" applyFont="1" applyFill="1" applyBorder="1" applyAlignment="1">
      <alignment horizontal="center" vertical="center" wrapText="1"/>
    </xf>
    <xf numFmtId="0" fontId="12" fillId="6" borderId="26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22" fontId="10" fillId="5" borderId="24" xfId="0" applyNumberFormat="1" applyFont="1" applyFill="1" applyBorder="1" applyAlignment="1">
      <alignment horizontal="center" vertical="center"/>
    </xf>
    <xf numFmtId="22" fontId="10" fillId="5" borderId="25" xfId="0" applyNumberFormat="1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2" fillId="6" borderId="27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/>
    </xf>
    <xf numFmtId="0" fontId="10" fillId="7" borderId="21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16" fillId="6" borderId="9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17" fillId="12" borderId="1" xfId="0" applyFont="1" applyFill="1" applyBorder="1" applyAlignment="1">
      <alignment horizontal="center"/>
    </xf>
    <xf numFmtId="0" fontId="17" fillId="12" borderId="10" xfId="0" applyFont="1" applyFill="1" applyBorder="1" applyAlignment="1">
      <alignment horizontal="center"/>
    </xf>
    <xf numFmtId="0" fontId="17" fillId="12" borderId="13" xfId="0" applyFont="1" applyFill="1" applyBorder="1" applyAlignment="1">
      <alignment horizontal="center" vertical="center"/>
    </xf>
    <xf numFmtId="0" fontId="17" fillId="12" borderId="11" xfId="0" applyFont="1" applyFill="1" applyBorder="1" applyAlignment="1">
      <alignment horizontal="center" vertical="center"/>
    </xf>
    <xf numFmtId="0" fontId="17" fillId="12" borderId="3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/>
    </xf>
    <xf numFmtId="171" fontId="11" fillId="6" borderId="14" xfId="0" applyNumberFormat="1" applyFont="1" applyFill="1" applyBorder="1" applyAlignment="1">
      <alignment horizontal="center" vertical="center"/>
    </xf>
    <xf numFmtId="171" fontId="11" fillId="6" borderId="15" xfId="0" applyNumberFormat="1" applyFont="1" applyFill="1" applyBorder="1" applyAlignment="1">
      <alignment horizontal="center" vertical="center"/>
    </xf>
    <xf numFmtId="171" fontId="11" fillId="6" borderId="17" xfId="0" applyNumberFormat="1" applyFont="1" applyFill="1" applyBorder="1" applyAlignment="1">
      <alignment horizontal="center" vertical="center"/>
    </xf>
    <xf numFmtId="171" fontId="10" fillId="9" borderId="9" xfId="0" applyNumberFormat="1" applyFont="1" applyFill="1" applyBorder="1" applyAlignment="1">
      <alignment horizontal="left" vertical="center"/>
    </xf>
    <xf numFmtId="171" fontId="10" fillId="9" borderId="1" xfId="0" applyNumberFormat="1" applyFont="1" applyFill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12" borderId="9" xfId="0" applyFont="1" applyFill="1" applyBorder="1" applyAlignment="1">
      <alignment horizontal="left" vertical="center"/>
    </xf>
    <xf numFmtId="0" fontId="10" fillId="12" borderId="1" xfId="0" applyFont="1" applyFill="1" applyBorder="1" applyAlignment="1">
      <alignment horizontal="left" vertical="center"/>
    </xf>
    <xf numFmtId="0" fontId="12" fillId="12" borderId="9" xfId="0" applyFont="1" applyFill="1" applyBorder="1" applyAlignment="1">
      <alignment horizontal="left" vertical="center"/>
    </xf>
    <xf numFmtId="0" fontId="12" fillId="12" borderId="1" xfId="0" applyFont="1" applyFill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2" fillId="11" borderId="13" xfId="0" applyFont="1" applyFill="1" applyBorder="1" applyAlignment="1">
      <alignment horizontal="left" vertical="center"/>
    </xf>
    <xf numFmtId="0" fontId="12" fillId="11" borderId="11" xfId="0" applyFont="1" applyFill="1" applyBorder="1" applyAlignment="1">
      <alignment horizontal="left" vertical="center"/>
    </xf>
    <xf numFmtId="0" fontId="12" fillId="11" borderId="3" xfId="0" applyFont="1" applyFill="1" applyBorder="1" applyAlignment="1">
      <alignment horizontal="left" vertical="center"/>
    </xf>
    <xf numFmtId="0" fontId="12" fillId="10" borderId="13" xfId="0" applyFont="1" applyFill="1" applyBorder="1" applyAlignment="1">
      <alignment horizontal="left" vertical="center"/>
    </xf>
    <xf numFmtId="0" fontId="12" fillId="10" borderId="11" xfId="0" applyFont="1" applyFill="1" applyBorder="1" applyAlignment="1">
      <alignment horizontal="left" vertical="center"/>
    </xf>
    <xf numFmtId="0" fontId="12" fillId="10" borderId="3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11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167" fontId="12" fillId="6" borderId="13" xfId="2" applyFont="1" applyFill="1" applyBorder="1" applyAlignment="1">
      <alignment horizontal="left" vertical="top"/>
    </xf>
    <xf numFmtId="167" fontId="12" fillId="6" borderId="11" xfId="2" applyFont="1" applyFill="1" applyBorder="1" applyAlignment="1">
      <alignment horizontal="left" vertical="top"/>
    </xf>
    <xf numFmtId="167" fontId="12" fillId="6" borderId="3" xfId="2" applyFont="1" applyFill="1" applyBorder="1" applyAlignment="1">
      <alignment horizontal="left" vertical="top"/>
    </xf>
    <xf numFmtId="0" fontId="12" fillId="10" borderId="14" xfId="0" applyFont="1" applyFill="1" applyBorder="1" applyAlignment="1">
      <alignment horizontal="left" vertical="center" wrapText="1"/>
    </xf>
    <xf numFmtId="0" fontId="12" fillId="10" borderId="15" xfId="0" applyFont="1" applyFill="1" applyBorder="1" applyAlignment="1">
      <alignment horizontal="left" vertical="center" wrapText="1"/>
    </xf>
    <xf numFmtId="0" fontId="12" fillId="10" borderId="16" xfId="0" applyFont="1" applyFill="1" applyBorder="1" applyAlignment="1">
      <alignment horizontal="left" vertical="center" wrapText="1"/>
    </xf>
    <xf numFmtId="0" fontId="16" fillId="6" borderId="33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22" fillId="12" borderId="13" xfId="0" applyFont="1" applyFill="1" applyBorder="1" applyAlignment="1">
      <alignment horizontal="center" vertical="center"/>
    </xf>
    <xf numFmtId="0" fontId="22" fillId="12" borderId="11" xfId="0" applyFont="1" applyFill="1" applyBorder="1" applyAlignment="1">
      <alignment horizontal="center" vertical="center"/>
    </xf>
    <xf numFmtId="0" fontId="22" fillId="12" borderId="3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4" fillId="6" borderId="1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21" fillId="0" borderId="40" xfId="0" applyFont="1" applyBorder="1" applyAlignment="1">
      <alignment horizontal="left" vertical="center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10" fillId="0" borderId="3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71" fontId="24" fillId="9" borderId="9" xfId="0" applyNumberFormat="1" applyFont="1" applyFill="1" applyBorder="1" applyAlignment="1" applyProtection="1">
      <alignment horizontal="left" vertical="center"/>
      <protection locked="0"/>
    </xf>
    <xf numFmtId="171" fontId="24" fillId="9" borderId="1" xfId="0" applyNumberFormat="1" applyFont="1" applyFill="1" applyBorder="1" applyAlignment="1" applyProtection="1">
      <alignment horizontal="left" vertical="center"/>
      <protection locked="0"/>
    </xf>
    <xf numFmtId="0" fontId="17" fillId="14" borderId="13" xfId="0" applyFont="1" applyFill="1" applyBorder="1" applyAlignment="1" applyProtection="1">
      <alignment horizontal="center" vertical="center"/>
      <protection locked="0"/>
    </xf>
    <xf numFmtId="0" fontId="17" fillId="14" borderId="11" xfId="0" applyFont="1" applyFill="1" applyBorder="1" applyAlignment="1" applyProtection="1">
      <alignment horizontal="center" vertical="center"/>
      <protection locked="0"/>
    </xf>
    <xf numFmtId="0" fontId="17" fillId="14" borderId="3" xfId="0" applyFont="1" applyFill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7" fillId="14" borderId="33" xfId="0" applyFont="1" applyFill="1" applyBorder="1" applyAlignment="1" applyProtection="1">
      <alignment horizontal="center"/>
      <protection locked="0"/>
    </xf>
    <xf numFmtId="0" fontId="17" fillId="14" borderId="11" xfId="0" applyFont="1" applyFill="1" applyBorder="1" applyAlignment="1" applyProtection="1">
      <alignment horizontal="center"/>
      <protection locked="0"/>
    </xf>
    <xf numFmtId="0" fontId="17" fillId="14" borderId="12" xfId="0" applyFont="1" applyFill="1" applyBorder="1" applyAlignment="1" applyProtection="1">
      <alignment horizont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14" borderId="12" xfId="0" applyFont="1" applyFill="1" applyBorder="1" applyAlignment="1" applyProtection="1">
      <alignment horizontal="center" vertical="center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37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7" fillId="0" borderId="38" xfId="0" applyFont="1" applyBorder="1" applyAlignment="1" applyProtection="1">
      <alignment horizontal="center" vertical="center"/>
      <protection locked="0"/>
    </xf>
    <xf numFmtId="171" fontId="11" fillId="16" borderId="14" xfId="0" applyNumberFormat="1" applyFont="1" applyFill="1" applyBorder="1" applyAlignment="1" applyProtection="1">
      <alignment horizontal="center" vertical="center"/>
      <protection locked="0"/>
    </xf>
    <xf numFmtId="171" fontId="11" fillId="16" borderId="15" xfId="0" applyNumberFormat="1" applyFont="1" applyFill="1" applyBorder="1" applyAlignment="1" applyProtection="1">
      <alignment horizontal="center" vertical="center"/>
      <protection locked="0"/>
    </xf>
    <xf numFmtId="171" fontId="11" fillId="16" borderId="17" xfId="0" applyNumberFormat="1" applyFont="1" applyFill="1" applyBorder="1" applyAlignment="1" applyProtection="1">
      <alignment horizontal="center" vertical="center"/>
      <protection locked="0"/>
    </xf>
    <xf numFmtId="0" fontId="12" fillId="10" borderId="13" xfId="0" applyFont="1" applyFill="1" applyBorder="1" applyAlignment="1" applyProtection="1">
      <alignment horizontal="left" vertical="center"/>
      <protection locked="0"/>
    </xf>
    <xf numFmtId="0" fontId="12" fillId="10" borderId="11" xfId="0" applyFont="1" applyFill="1" applyBorder="1" applyAlignment="1" applyProtection="1">
      <alignment horizontal="left" vertical="center"/>
      <protection locked="0"/>
    </xf>
    <xf numFmtId="0" fontId="12" fillId="10" borderId="3" xfId="0" applyFont="1" applyFill="1" applyBorder="1" applyAlignment="1" applyProtection="1">
      <alignment horizontal="left" vertical="center"/>
      <protection locked="0"/>
    </xf>
    <xf numFmtId="0" fontId="12" fillId="14" borderId="9" xfId="0" applyFont="1" applyFill="1" applyBorder="1" applyAlignment="1" applyProtection="1">
      <alignment horizontal="left" vertical="center"/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167" fontId="12" fillId="16" borderId="13" xfId="2" applyFont="1" applyFill="1" applyBorder="1" applyAlignment="1" applyProtection="1">
      <alignment horizontal="left" vertical="top"/>
      <protection locked="0"/>
    </xf>
    <xf numFmtId="167" fontId="12" fillId="16" borderId="11" xfId="2" applyFont="1" applyFill="1" applyBorder="1" applyAlignment="1" applyProtection="1">
      <alignment horizontal="left" vertical="top"/>
      <protection locked="0"/>
    </xf>
    <xf numFmtId="167" fontId="12" fillId="16" borderId="3" xfId="2" applyFont="1" applyFill="1" applyBorder="1" applyAlignment="1" applyProtection="1">
      <alignment horizontal="left" vertical="top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21" fillId="14" borderId="9" xfId="0" applyFont="1" applyFill="1" applyBorder="1" applyAlignment="1" applyProtection="1">
      <alignment horizontal="left" vertical="center"/>
      <protection locked="0"/>
    </xf>
    <xf numFmtId="0" fontId="21" fillId="14" borderId="1" xfId="0" applyFont="1" applyFill="1" applyBorder="1" applyAlignment="1" applyProtection="1">
      <alignment horizontal="left" vertical="center"/>
      <protection locked="0"/>
    </xf>
    <xf numFmtId="0" fontId="10" fillId="10" borderId="1" xfId="0" applyFont="1" applyFill="1" applyBorder="1" applyAlignment="1" applyProtection="1">
      <alignment horizontal="center" vertical="center"/>
      <protection locked="0"/>
    </xf>
    <xf numFmtId="0" fontId="24" fillId="16" borderId="13" xfId="0" applyFont="1" applyFill="1" applyBorder="1" applyAlignment="1" applyProtection="1">
      <alignment horizontal="left" vertical="center"/>
      <protection locked="0"/>
    </xf>
    <xf numFmtId="0" fontId="24" fillId="16" borderId="11" xfId="0" applyFont="1" applyFill="1" applyBorder="1" applyAlignment="1" applyProtection="1">
      <alignment horizontal="left" vertical="center"/>
      <protection locked="0"/>
    </xf>
    <xf numFmtId="0" fontId="24" fillId="16" borderId="3" xfId="0" applyFont="1" applyFill="1" applyBorder="1" applyAlignment="1" applyProtection="1">
      <alignment horizontal="left" vertical="center"/>
      <protection locked="0"/>
    </xf>
    <xf numFmtId="0" fontId="10" fillId="10" borderId="13" xfId="0" applyFont="1" applyFill="1" applyBorder="1" applyAlignment="1" applyProtection="1">
      <alignment horizontal="left" vertical="center"/>
      <protection locked="0"/>
    </xf>
    <xf numFmtId="0" fontId="10" fillId="10" borderId="11" xfId="0" applyFont="1" applyFill="1" applyBorder="1" applyAlignment="1" applyProtection="1">
      <alignment horizontal="left" vertical="center"/>
      <protection locked="0"/>
    </xf>
    <xf numFmtId="0" fontId="10" fillId="10" borderId="3" xfId="0" applyFont="1" applyFill="1" applyBorder="1" applyAlignment="1" applyProtection="1">
      <alignment horizontal="left" vertical="center"/>
      <protection locked="0"/>
    </xf>
    <xf numFmtId="0" fontId="12" fillId="16" borderId="13" xfId="0" applyFont="1" applyFill="1" applyBorder="1" applyAlignment="1" applyProtection="1">
      <alignment horizontal="left" vertical="center"/>
      <protection locked="0"/>
    </xf>
    <xf numFmtId="0" fontId="12" fillId="16" borderId="11" xfId="0" applyFont="1" applyFill="1" applyBorder="1" applyAlignment="1" applyProtection="1">
      <alignment horizontal="left" vertical="center"/>
      <protection locked="0"/>
    </xf>
    <xf numFmtId="0" fontId="12" fillId="16" borderId="3" xfId="0" applyFont="1" applyFill="1" applyBorder="1" applyAlignment="1" applyProtection="1">
      <alignment horizontal="left" vertical="center"/>
      <protection locked="0"/>
    </xf>
    <xf numFmtId="0" fontId="12" fillId="16" borderId="18" xfId="0" applyFont="1" applyFill="1" applyBorder="1" applyAlignment="1" applyProtection="1">
      <alignment horizontal="center" vertical="center"/>
      <protection locked="0"/>
    </xf>
    <xf numFmtId="0" fontId="12" fillId="16" borderId="19" xfId="0" applyFont="1" applyFill="1" applyBorder="1" applyAlignment="1" applyProtection="1">
      <alignment horizontal="center" vertical="center"/>
      <protection locked="0"/>
    </xf>
    <xf numFmtId="0" fontId="11" fillId="16" borderId="21" xfId="0" applyFont="1" applyFill="1" applyBorder="1" applyAlignment="1" applyProtection="1">
      <alignment horizontal="center" vertical="center"/>
      <protection locked="0"/>
    </xf>
    <xf numFmtId="0" fontId="11" fillId="16" borderId="22" xfId="0" applyFont="1" applyFill="1" applyBorder="1" applyAlignment="1" applyProtection="1">
      <alignment horizontal="center" vertical="center"/>
      <protection locked="0"/>
    </xf>
    <xf numFmtId="0" fontId="11" fillId="16" borderId="31" xfId="0" applyFont="1" applyFill="1" applyBorder="1" applyAlignment="1" applyProtection="1">
      <alignment horizontal="center" vertical="center"/>
      <protection locked="0"/>
    </xf>
    <xf numFmtId="0" fontId="11" fillId="16" borderId="23" xfId="0" applyFont="1" applyFill="1" applyBorder="1" applyAlignment="1" applyProtection="1">
      <alignment horizontal="center" vertical="center"/>
      <protection locked="0"/>
    </xf>
    <xf numFmtId="0" fontId="16" fillId="10" borderId="9" xfId="0" applyFont="1" applyFill="1" applyBorder="1" applyAlignment="1" applyProtection="1">
      <alignment horizontal="center" vertical="center"/>
      <protection locked="0"/>
    </xf>
    <xf numFmtId="0" fontId="16" fillId="10" borderId="1" xfId="0" applyFont="1" applyFill="1" applyBorder="1" applyAlignment="1" applyProtection="1">
      <alignment horizontal="center" vertical="center"/>
      <protection locked="0"/>
    </xf>
    <xf numFmtId="0" fontId="16" fillId="10" borderId="10" xfId="0" applyFont="1" applyFill="1" applyBorder="1" applyAlignment="1" applyProtection="1">
      <alignment horizontal="center" vertical="center"/>
      <protection locked="0"/>
    </xf>
    <xf numFmtId="164" fontId="12" fillId="16" borderId="13" xfId="1" applyFont="1" applyFill="1" applyBorder="1" applyAlignment="1" applyProtection="1">
      <alignment horizontal="right" vertical="center"/>
      <protection locked="0"/>
    </xf>
    <xf numFmtId="164" fontId="12" fillId="16" borderId="11" xfId="1" applyFont="1" applyFill="1" applyBorder="1" applyAlignment="1" applyProtection="1">
      <alignment horizontal="right" vertical="center"/>
      <protection locked="0"/>
    </xf>
    <xf numFmtId="0" fontId="10" fillId="5" borderId="1" xfId="0" applyFont="1" applyFill="1" applyBorder="1" applyAlignment="1" applyProtection="1">
      <alignment horizontal="center" vertical="center"/>
      <protection locked="0"/>
    </xf>
    <xf numFmtId="0" fontId="10" fillId="5" borderId="33" xfId="0" applyFont="1" applyFill="1" applyBorder="1" applyAlignment="1" applyProtection="1">
      <alignment horizontal="center" vertical="center"/>
      <protection locked="0"/>
    </xf>
    <xf numFmtId="0" fontId="10" fillId="5" borderId="3" xfId="0" applyFont="1" applyFill="1" applyBorder="1" applyAlignment="1" applyProtection="1">
      <alignment horizontal="center" vertical="center"/>
      <protection locked="0"/>
    </xf>
    <xf numFmtId="0" fontId="12" fillId="16" borderId="2" xfId="0" applyFont="1" applyFill="1" applyBorder="1" applyAlignment="1" applyProtection="1">
      <alignment horizontal="center" vertical="center" wrapText="1"/>
      <protection locked="0"/>
    </xf>
    <xf numFmtId="164" fontId="12" fillId="10" borderId="7" xfId="1" applyFont="1" applyFill="1" applyBorder="1" applyAlignment="1" applyProtection="1">
      <alignment horizontal="center" vertical="center"/>
      <protection locked="0"/>
    </xf>
    <xf numFmtId="164" fontId="12" fillId="10" borderId="0" xfId="1" applyFont="1" applyFill="1" applyBorder="1" applyAlignment="1" applyProtection="1">
      <alignment horizontal="center" vertical="center"/>
      <protection locked="0"/>
    </xf>
    <xf numFmtId="164" fontId="12" fillId="10" borderId="45" xfId="1" applyFont="1" applyFill="1" applyBorder="1" applyAlignment="1" applyProtection="1">
      <alignment horizontal="center" vertical="center"/>
      <protection locked="0"/>
    </xf>
    <xf numFmtId="0" fontId="23" fillId="0" borderId="42" xfId="0" applyFont="1" applyBorder="1" applyAlignment="1" applyProtection="1">
      <alignment horizontal="center" vertical="center"/>
      <protection locked="0"/>
    </xf>
    <xf numFmtId="0" fontId="23" fillId="0" borderId="27" xfId="0" applyFont="1" applyBorder="1" applyAlignment="1" applyProtection="1">
      <alignment horizontal="center" vertical="center"/>
      <protection locked="0"/>
    </xf>
    <xf numFmtId="0" fontId="23" fillId="0" borderId="28" xfId="0" applyFont="1" applyBorder="1" applyAlignment="1" applyProtection="1">
      <alignment horizontal="center" vertical="center"/>
      <protection locked="0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0" fontId="12" fillId="16" borderId="1" xfId="0" applyFont="1" applyFill="1" applyBorder="1" applyAlignment="1" applyProtection="1">
      <alignment horizontal="left" vertical="center"/>
      <protection locked="0"/>
    </xf>
    <xf numFmtId="0" fontId="28" fillId="21" borderId="33" xfId="0" applyFont="1" applyFill="1" applyBorder="1" applyAlignment="1" applyProtection="1">
      <alignment horizontal="center" vertical="center" wrapText="1"/>
      <protection locked="0"/>
    </xf>
    <xf numFmtId="0" fontId="28" fillId="21" borderId="11" xfId="0" applyFont="1" applyFill="1" applyBorder="1" applyAlignment="1" applyProtection="1">
      <alignment horizontal="center" vertical="center" wrapText="1"/>
      <protection locked="0"/>
    </xf>
    <xf numFmtId="0" fontId="12" fillId="16" borderId="1" xfId="0" applyFont="1" applyFill="1" applyBorder="1" applyAlignment="1" applyProtection="1">
      <alignment horizontal="center" vertical="center" wrapText="1"/>
      <protection locked="0"/>
    </xf>
    <xf numFmtId="0" fontId="22" fillId="14" borderId="13" xfId="0" applyFont="1" applyFill="1" applyBorder="1" applyAlignment="1" applyProtection="1">
      <alignment horizontal="center" vertical="center"/>
      <protection locked="0"/>
    </xf>
    <xf numFmtId="0" fontId="22" fillId="14" borderId="11" xfId="0" applyFont="1" applyFill="1" applyBorder="1" applyAlignment="1" applyProtection="1">
      <alignment horizontal="center" vertical="center"/>
      <protection locked="0"/>
    </xf>
    <xf numFmtId="0" fontId="22" fillId="14" borderId="3" xfId="0" applyFont="1" applyFill="1" applyBorder="1" applyAlignment="1" applyProtection="1">
      <alignment horizontal="center" vertical="center"/>
      <protection locked="0"/>
    </xf>
    <xf numFmtId="0" fontId="16" fillId="16" borderId="33" xfId="0" applyFont="1" applyFill="1" applyBorder="1" applyAlignment="1" applyProtection="1">
      <alignment horizontal="center" vertical="center"/>
      <protection locked="0"/>
    </xf>
    <xf numFmtId="0" fontId="16" fillId="16" borderId="11" xfId="0" applyFont="1" applyFill="1" applyBorder="1" applyAlignment="1" applyProtection="1">
      <alignment horizontal="center" vertical="center"/>
      <protection locked="0"/>
    </xf>
    <xf numFmtId="0" fontId="16" fillId="16" borderId="12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14" fillId="16" borderId="1" xfId="0" applyFont="1" applyFill="1" applyBorder="1" applyAlignment="1" applyProtection="1">
      <alignment horizontal="center" vertical="center"/>
      <protection locked="0"/>
    </xf>
    <xf numFmtId="0" fontId="14" fillId="16" borderId="10" xfId="0" applyFont="1" applyFill="1" applyBorder="1" applyAlignment="1" applyProtection="1">
      <alignment horizontal="center" vertical="center"/>
      <protection locked="0"/>
    </xf>
    <xf numFmtId="0" fontId="21" fillId="0" borderId="40" xfId="0" applyFont="1" applyBorder="1" applyAlignment="1" applyProtection="1">
      <alignment horizontal="left" vertical="center"/>
      <protection locked="0"/>
    </xf>
    <xf numFmtId="0" fontId="12" fillId="16" borderId="24" xfId="0" applyFont="1" applyFill="1" applyBorder="1" applyAlignment="1">
      <alignment horizontal="center" vertical="center"/>
    </xf>
    <xf numFmtId="0" fontId="12" fillId="16" borderId="27" xfId="0" applyFont="1" applyFill="1" applyBorder="1" applyAlignment="1">
      <alignment horizontal="center" vertical="center"/>
    </xf>
    <xf numFmtId="0" fontId="12" fillId="16" borderId="28" xfId="0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0" fontId="13" fillId="14" borderId="1" xfId="0" applyFont="1" applyFill="1" applyBorder="1" applyAlignment="1">
      <alignment horizontal="center" vertical="center"/>
    </xf>
    <xf numFmtId="0" fontId="12" fillId="16" borderId="1" xfId="0" applyFont="1" applyFill="1" applyBorder="1" applyAlignment="1">
      <alignment horizontal="left" vertical="center"/>
    </xf>
    <xf numFmtId="0" fontId="28" fillId="10" borderId="33" xfId="0" applyFont="1" applyFill="1" applyBorder="1" applyAlignment="1" applyProtection="1">
      <alignment horizontal="center" vertical="center" wrapText="1"/>
      <protection locked="0"/>
    </xf>
    <xf numFmtId="0" fontId="28" fillId="10" borderId="11" xfId="0" applyFont="1" applyFill="1" applyBorder="1" applyAlignment="1" applyProtection="1">
      <alignment horizontal="center" vertical="center" wrapText="1"/>
      <protection locked="0"/>
    </xf>
    <xf numFmtId="0" fontId="12" fillId="16" borderId="1" xfId="0" applyFont="1" applyFill="1" applyBorder="1" applyAlignment="1">
      <alignment horizontal="center" vertical="center" wrapText="1"/>
    </xf>
    <xf numFmtId="0" fontId="12" fillId="16" borderId="43" xfId="0" applyFont="1" applyFill="1" applyBorder="1" applyAlignment="1">
      <alignment horizontal="center" vertical="center"/>
    </xf>
    <xf numFmtId="0" fontId="12" fillId="16" borderId="0" xfId="0" applyFont="1" applyFill="1" applyAlignment="1">
      <alignment horizontal="center" vertical="center"/>
    </xf>
    <xf numFmtId="0" fontId="12" fillId="16" borderId="45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9" fontId="3" fillId="1" borderId="33" xfId="1" applyNumberFormat="1" applyFont="1" applyFill="1" applyBorder="1" applyAlignment="1" applyProtection="1">
      <alignment horizontal="center"/>
    </xf>
    <xf numFmtId="169" fontId="3" fillId="1" borderId="11" xfId="1" applyNumberFormat="1" applyFont="1" applyFill="1" applyBorder="1" applyAlignment="1" applyProtection="1">
      <alignment horizontal="center"/>
    </xf>
    <xf numFmtId="169" fontId="3" fillId="1" borderId="3" xfId="1" applyNumberFormat="1" applyFont="1" applyFill="1" applyBorder="1" applyAlignment="1" applyProtection="1">
      <alignment horizontal="center"/>
    </xf>
    <xf numFmtId="169" fontId="1" fillId="0" borderId="33" xfId="1" applyNumberFormat="1" applyFont="1" applyBorder="1" applyAlignment="1" applyProtection="1">
      <alignment horizontal="center"/>
    </xf>
    <xf numFmtId="169" fontId="1" fillId="0" borderId="11" xfId="1" applyNumberFormat="1" applyFont="1" applyBorder="1" applyAlignment="1" applyProtection="1">
      <alignment horizontal="center"/>
    </xf>
    <xf numFmtId="169" fontId="1" fillId="0" borderId="3" xfId="1" applyNumberFormat="1" applyFont="1" applyBorder="1" applyAlignment="1" applyProtection="1">
      <alignment horizontal="center"/>
    </xf>
    <xf numFmtId="169" fontId="3" fillId="1" borderId="33" xfId="0" applyNumberFormat="1" applyFont="1" applyFill="1" applyBorder="1" applyAlignment="1">
      <alignment horizontal="center"/>
    </xf>
    <xf numFmtId="169" fontId="3" fillId="1" borderId="11" xfId="0" applyNumberFormat="1" applyFont="1" applyFill="1" applyBorder="1" applyAlignment="1">
      <alignment horizontal="center"/>
    </xf>
    <xf numFmtId="169" fontId="3" fillId="1" borderId="3" xfId="0" applyNumberFormat="1" applyFont="1" applyFill="1" applyBorder="1" applyAlignment="1">
      <alignment horizontal="center"/>
    </xf>
    <xf numFmtId="169" fontId="2" fillId="1" borderId="33" xfId="0" applyNumberFormat="1" applyFont="1" applyFill="1" applyBorder="1" applyAlignment="1">
      <alignment horizontal="center"/>
    </xf>
    <xf numFmtId="169" fontId="2" fillId="1" borderId="11" xfId="0" applyNumberFormat="1" applyFont="1" applyFill="1" applyBorder="1" applyAlignment="1">
      <alignment horizontal="center"/>
    </xf>
    <xf numFmtId="169" fontId="2" fillId="1" borderId="3" xfId="0" applyNumberFormat="1" applyFont="1" applyFill="1" applyBorder="1" applyAlignment="1">
      <alignment horizontal="center"/>
    </xf>
    <xf numFmtId="0" fontId="3" fillId="3" borderId="29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 wrapText="1"/>
      <protection locked="0"/>
    </xf>
    <xf numFmtId="0" fontId="3" fillId="3" borderId="3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textRotation="255" wrapText="1"/>
      <protection locked="0"/>
    </xf>
    <xf numFmtId="169" fontId="2" fillId="18" borderId="1" xfId="1" applyNumberFormat="1" applyFont="1" applyFill="1" applyBorder="1" applyAlignment="1" applyProtection="1">
      <alignment horizontal="center" vertical="center"/>
      <protection locked="0"/>
    </xf>
    <xf numFmtId="0" fontId="3" fillId="14" borderId="2" xfId="0" applyFont="1" applyFill="1" applyBorder="1" applyAlignment="1" applyProtection="1">
      <alignment horizontal="center" vertical="center" wrapText="1"/>
      <protection locked="0"/>
    </xf>
    <xf numFmtId="0" fontId="3" fillId="14" borderId="34" xfId="0" applyFont="1" applyFill="1" applyBorder="1" applyAlignment="1" applyProtection="1">
      <alignment horizontal="center" vertical="center" wrapText="1"/>
      <protection locked="0"/>
    </xf>
    <xf numFmtId="0" fontId="3" fillId="14" borderId="0" xfId="0" applyFont="1" applyFill="1" applyAlignment="1" applyProtection="1">
      <alignment horizontal="center"/>
      <protection locked="0"/>
    </xf>
    <xf numFmtId="0" fontId="3" fillId="1" borderId="33" xfId="0" applyFont="1" applyFill="1" applyBorder="1" applyAlignment="1" applyProtection="1">
      <alignment horizontal="center"/>
      <protection locked="0"/>
    </xf>
    <xf numFmtId="0" fontId="3" fillId="1" borderId="11" xfId="0" applyFont="1" applyFill="1" applyBorder="1" applyAlignment="1" applyProtection="1">
      <alignment horizontal="center"/>
      <protection locked="0"/>
    </xf>
    <xf numFmtId="0" fontId="3" fillId="1" borderId="3" xfId="0" applyFont="1" applyFill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 vertical="center" textRotation="255" wrapText="1"/>
      <protection locked="0"/>
    </xf>
    <xf numFmtId="0" fontId="4" fillId="0" borderId="35" xfId="0" applyFont="1" applyBorder="1" applyAlignment="1" applyProtection="1">
      <alignment horizontal="center" vertical="center" textRotation="255" wrapText="1"/>
      <protection locked="0"/>
    </xf>
    <xf numFmtId="0" fontId="4" fillId="0" borderId="34" xfId="0" applyFont="1" applyBorder="1" applyAlignment="1" applyProtection="1">
      <alignment horizontal="center" vertical="center" textRotation="255" wrapText="1"/>
      <protection locked="0"/>
    </xf>
    <xf numFmtId="0" fontId="4" fillId="1" borderId="1" xfId="0" applyFont="1" applyFill="1" applyBorder="1" applyAlignment="1" applyProtection="1">
      <alignment horizontal="left" vertical="center"/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2" fillId="14" borderId="33" xfId="0" applyFont="1" applyFill="1" applyBorder="1" applyAlignment="1" applyProtection="1">
      <alignment horizontal="center" vertical="center" wrapText="1"/>
      <protection locked="0"/>
    </xf>
    <xf numFmtId="0" fontId="2" fillId="14" borderId="3" xfId="0" applyFont="1" applyFill="1" applyBorder="1" applyAlignment="1" applyProtection="1">
      <alignment horizontal="center" vertical="center" wrapText="1"/>
      <protection locked="0"/>
    </xf>
    <xf numFmtId="169" fontId="26" fillId="14" borderId="29" xfId="1" applyNumberFormat="1" applyFont="1" applyFill="1" applyBorder="1" applyAlignment="1" applyProtection="1">
      <alignment horizontal="center" vertical="center"/>
    </xf>
    <xf numFmtId="169" fontId="26" fillId="14" borderId="16" xfId="1" applyNumberFormat="1" applyFont="1" applyFill="1" applyBorder="1" applyAlignment="1" applyProtection="1">
      <alignment horizontal="center" vertical="center"/>
    </xf>
    <xf numFmtId="169" fontId="26" fillId="14" borderId="4" xfId="1" applyNumberFormat="1" applyFont="1" applyFill="1" applyBorder="1" applyAlignment="1" applyProtection="1">
      <alignment horizontal="center" vertical="center"/>
    </xf>
    <xf numFmtId="169" fontId="26" fillId="14" borderId="36" xfId="1" applyNumberFormat="1" applyFont="1" applyFill="1" applyBorder="1" applyAlignment="1" applyProtection="1">
      <alignment horizontal="center" vertical="center"/>
    </xf>
    <xf numFmtId="169" fontId="26" fillId="14" borderId="30" xfId="1" applyNumberFormat="1" applyFont="1" applyFill="1" applyBorder="1" applyAlignment="1" applyProtection="1">
      <alignment horizontal="center" vertical="center"/>
    </xf>
    <xf numFmtId="169" fontId="26" fillId="14" borderId="32" xfId="1" applyNumberFormat="1" applyFont="1" applyFill="1" applyBorder="1" applyAlignment="1" applyProtection="1">
      <alignment horizontal="center" vertical="center"/>
    </xf>
    <xf numFmtId="0" fontId="3" fillId="14" borderId="29" xfId="0" applyFont="1" applyFill="1" applyBorder="1" applyAlignment="1" applyProtection="1">
      <alignment horizontal="center" vertical="center" wrapText="1"/>
      <protection locked="0"/>
    </xf>
    <xf numFmtId="0" fontId="3" fillId="14" borderId="15" xfId="0" applyFont="1" applyFill="1" applyBorder="1" applyAlignment="1" applyProtection="1">
      <alignment horizontal="center" vertical="center" wrapText="1"/>
      <protection locked="0"/>
    </xf>
    <xf numFmtId="0" fontId="3" fillId="14" borderId="16" xfId="0" applyFont="1" applyFill="1" applyBorder="1" applyAlignment="1" applyProtection="1">
      <alignment horizontal="center" vertical="center" wrapText="1"/>
      <protection locked="0"/>
    </xf>
    <xf numFmtId="0" fontId="18" fillId="14" borderId="2" xfId="0" applyFont="1" applyFill="1" applyBorder="1" applyAlignment="1" applyProtection="1">
      <alignment horizontal="center" vertical="center" textRotation="255"/>
      <protection locked="0"/>
    </xf>
    <xf numFmtId="0" fontId="18" fillId="14" borderId="35" xfId="0" applyFont="1" applyFill="1" applyBorder="1" applyAlignment="1" applyProtection="1">
      <alignment horizontal="center" vertical="center" textRotation="255"/>
      <protection locked="0"/>
    </xf>
    <xf numFmtId="0" fontId="18" fillId="14" borderId="34" xfId="0" applyFont="1" applyFill="1" applyBorder="1" applyAlignment="1" applyProtection="1">
      <alignment horizontal="center" vertical="center" textRotation="255"/>
      <protection locked="0"/>
    </xf>
    <xf numFmtId="0" fontId="0" fillId="0" borderId="33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3" fillId="14" borderId="33" xfId="0" applyFont="1" applyFill="1" applyBorder="1" applyAlignment="1" applyProtection="1">
      <alignment horizontal="center"/>
      <protection locked="0"/>
    </xf>
    <xf numFmtId="0" fontId="3" fillId="14" borderId="11" xfId="0" applyFont="1" applyFill="1" applyBorder="1" applyAlignment="1" applyProtection="1">
      <alignment horizontal="center"/>
      <protection locked="0"/>
    </xf>
    <xf numFmtId="0" fontId="3" fillId="14" borderId="3" xfId="0" applyFont="1" applyFill="1" applyBorder="1" applyAlignment="1" applyProtection="1">
      <alignment horizontal="center"/>
      <protection locked="0"/>
    </xf>
    <xf numFmtId="0" fontId="3" fillId="15" borderId="1" xfId="0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14" borderId="33" xfId="0" applyFont="1" applyFill="1" applyBorder="1" applyAlignment="1" applyProtection="1">
      <alignment horizontal="center"/>
      <protection locked="0"/>
    </xf>
    <xf numFmtId="0" fontId="2" fillId="14" borderId="11" xfId="0" applyFont="1" applyFill="1" applyBorder="1" applyAlignment="1" applyProtection="1">
      <alignment horizontal="center"/>
      <protection locked="0"/>
    </xf>
    <xf numFmtId="0" fontId="2" fillId="14" borderId="3" xfId="0" applyFont="1" applyFill="1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4" fillId="0" borderId="33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3" fillId="15" borderId="33" xfId="0" applyFont="1" applyFill="1" applyBorder="1" applyAlignment="1" applyProtection="1">
      <alignment horizontal="center"/>
      <protection locked="0"/>
    </xf>
    <xf numFmtId="0" fontId="3" fillId="15" borderId="11" xfId="0" applyFont="1" applyFill="1" applyBorder="1" applyAlignment="1" applyProtection="1">
      <alignment horizontal="center"/>
      <protection locked="0"/>
    </xf>
    <xf numFmtId="0" fontId="3" fillId="15" borderId="3" xfId="0" applyFont="1" applyFill="1" applyBorder="1" applyAlignment="1" applyProtection="1">
      <alignment horizontal="center"/>
      <protection locked="0"/>
    </xf>
    <xf numFmtId="0" fontId="4" fillId="14" borderId="2" xfId="0" applyFont="1" applyFill="1" applyBorder="1" applyAlignment="1" applyProtection="1">
      <alignment horizontal="center" vertical="center" textRotation="255"/>
      <protection locked="0"/>
    </xf>
    <xf numFmtId="0" fontId="4" fillId="14" borderId="35" xfId="0" applyFont="1" applyFill="1" applyBorder="1" applyAlignment="1" applyProtection="1">
      <alignment horizontal="center" vertical="center" textRotation="255"/>
      <protection locked="0"/>
    </xf>
    <xf numFmtId="0" fontId="4" fillId="14" borderId="34" xfId="0" applyFont="1" applyFill="1" applyBorder="1" applyAlignment="1" applyProtection="1">
      <alignment horizontal="center" vertical="center" textRotation="255"/>
      <protection locked="0"/>
    </xf>
    <xf numFmtId="0" fontId="4" fillId="14" borderId="33" xfId="0" applyFont="1" applyFill="1" applyBorder="1" applyAlignment="1" applyProtection="1">
      <alignment horizontal="left"/>
      <protection locked="0"/>
    </xf>
    <xf numFmtId="0" fontId="4" fillId="14" borderId="11" xfId="0" applyFont="1" applyFill="1" applyBorder="1" applyAlignment="1" applyProtection="1">
      <alignment horizontal="left"/>
      <protection locked="0"/>
    </xf>
    <xf numFmtId="0" fontId="4" fillId="14" borderId="3" xfId="0" applyFont="1" applyFill="1" applyBorder="1" applyAlignment="1" applyProtection="1">
      <alignment horizontal="left"/>
      <protection locked="0"/>
    </xf>
    <xf numFmtId="0" fontId="3" fillId="14" borderId="1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169" fontId="2" fillId="0" borderId="33" xfId="0" applyNumberFormat="1" applyFont="1" applyBorder="1" applyAlignment="1">
      <alignment horizontal="center"/>
    </xf>
    <xf numFmtId="169" fontId="2" fillId="0" borderId="3" xfId="0" applyNumberFormat="1" applyFont="1" applyBorder="1" applyAlignment="1">
      <alignment horizontal="center"/>
    </xf>
    <xf numFmtId="9" fontId="3" fillId="2" borderId="33" xfId="4" applyFont="1" applyFill="1" applyBorder="1" applyAlignment="1" applyProtection="1">
      <alignment horizontal="center"/>
    </xf>
    <xf numFmtId="9" fontId="3" fillId="2" borderId="3" xfId="4" applyFont="1" applyFill="1" applyBorder="1" applyAlignment="1" applyProtection="1">
      <alignment horizontal="center"/>
    </xf>
    <xf numFmtId="0" fontId="3" fillId="14" borderId="29" xfId="0" applyFont="1" applyFill="1" applyBorder="1" applyAlignment="1" applyProtection="1">
      <alignment horizontal="center" vertical="center"/>
      <protection locked="0"/>
    </xf>
    <xf numFmtId="0" fontId="3" fillId="14" borderId="15" xfId="0" applyFont="1" applyFill="1" applyBorder="1" applyAlignment="1" applyProtection="1">
      <alignment horizontal="center" vertical="center"/>
      <protection locked="0"/>
    </xf>
    <xf numFmtId="0" fontId="3" fillId="14" borderId="16" xfId="0" applyFont="1" applyFill="1" applyBorder="1" applyAlignment="1" applyProtection="1">
      <alignment horizontal="center" vertical="center"/>
      <protection locked="0"/>
    </xf>
    <xf numFmtId="0" fontId="3" fillId="14" borderId="4" xfId="0" applyFont="1" applyFill="1" applyBorder="1" applyAlignment="1" applyProtection="1">
      <alignment horizontal="center" vertical="center"/>
      <protection locked="0"/>
    </xf>
    <xf numFmtId="0" fontId="3" fillId="14" borderId="0" xfId="0" applyFont="1" applyFill="1" applyAlignment="1" applyProtection="1">
      <alignment horizontal="center" vertical="center"/>
      <protection locked="0"/>
    </xf>
    <xf numFmtId="0" fontId="3" fillId="14" borderId="36" xfId="0" applyFont="1" applyFill="1" applyBorder="1" applyAlignment="1" applyProtection="1">
      <alignment horizontal="center" vertical="center"/>
      <protection locked="0"/>
    </xf>
    <xf numFmtId="172" fontId="30" fillId="14" borderId="1" xfId="2" applyNumberFormat="1" applyFont="1" applyFill="1" applyBorder="1" applyAlignment="1" applyProtection="1">
      <alignment horizontal="center" vertical="center"/>
    </xf>
    <xf numFmtId="0" fontId="3" fillId="14" borderId="30" xfId="0" applyFont="1" applyFill="1" applyBorder="1" applyAlignment="1" applyProtection="1">
      <alignment horizontal="center" vertical="center"/>
      <protection locked="0"/>
    </xf>
    <xf numFmtId="0" fontId="3" fillId="14" borderId="31" xfId="0" applyFont="1" applyFill="1" applyBorder="1" applyAlignment="1" applyProtection="1">
      <alignment horizontal="center" vertical="center"/>
      <protection locked="0"/>
    </xf>
    <xf numFmtId="0" fontId="3" fillId="14" borderId="32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69" fontId="4" fillId="0" borderId="33" xfId="1" applyNumberFormat="1" applyFont="1" applyBorder="1" applyAlignment="1" applyProtection="1">
      <alignment horizontal="center"/>
    </xf>
    <xf numFmtId="169" fontId="4" fillId="0" borderId="3" xfId="1" applyNumberFormat="1" applyFont="1" applyBorder="1" applyAlignment="1" applyProtection="1">
      <alignment horizontal="center"/>
    </xf>
    <xf numFmtId="0" fontId="2" fillId="14" borderId="33" xfId="0" applyFont="1" applyFill="1" applyBorder="1" applyAlignment="1" applyProtection="1">
      <alignment horizontal="center" vertical="center"/>
      <protection locked="0"/>
    </xf>
    <xf numFmtId="0" fontId="2" fillId="14" borderId="11" xfId="0" applyFont="1" applyFill="1" applyBorder="1" applyAlignment="1" applyProtection="1">
      <alignment horizontal="center" vertical="center"/>
      <protection locked="0"/>
    </xf>
    <xf numFmtId="0" fontId="2" fillId="14" borderId="3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/>
      <protection locked="0"/>
    </xf>
    <xf numFmtId="0" fontId="2" fillId="0" borderId="11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0" fillId="14" borderId="29" xfId="0" applyFill="1" applyBorder="1" applyAlignment="1" applyProtection="1">
      <alignment horizontal="center"/>
      <protection locked="0"/>
    </xf>
    <xf numFmtId="0" fontId="0" fillId="14" borderId="15" xfId="0" applyFill="1" applyBorder="1" applyAlignment="1" applyProtection="1">
      <alignment horizontal="center"/>
      <protection locked="0"/>
    </xf>
    <xf numFmtId="0" fontId="0" fillId="14" borderId="16" xfId="0" applyFill="1" applyBorder="1" applyAlignment="1" applyProtection="1">
      <alignment horizontal="center"/>
      <protection locked="0"/>
    </xf>
    <xf numFmtId="0" fontId="0" fillId="14" borderId="30" xfId="0" applyFill="1" applyBorder="1" applyAlignment="1" applyProtection="1">
      <alignment horizontal="center"/>
      <protection locked="0"/>
    </xf>
    <xf numFmtId="0" fontId="0" fillId="14" borderId="31" xfId="0" applyFill="1" applyBorder="1" applyAlignment="1" applyProtection="1">
      <alignment horizontal="center"/>
      <protection locked="0"/>
    </xf>
    <xf numFmtId="0" fontId="0" fillId="14" borderId="32" xfId="0" applyFill="1" applyBorder="1" applyAlignment="1" applyProtection="1">
      <alignment horizontal="center"/>
      <protection locked="0"/>
    </xf>
    <xf numFmtId="0" fontId="5" fillId="14" borderId="1" xfId="0" applyFont="1" applyFill="1" applyBorder="1" applyAlignment="1" applyProtection="1">
      <alignment horizontal="center"/>
      <protection locked="0"/>
    </xf>
    <xf numFmtId="0" fontId="4" fillId="14" borderId="33" xfId="0" applyFont="1" applyFill="1" applyBorder="1" applyAlignment="1" applyProtection="1">
      <alignment horizontal="center"/>
      <protection locked="0"/>
    </xf>
    <xf numFmtId="0" fontId="4" fillId="14" borderId="11" xfId="0" applyFont="1" applyFill="1" applyBorder="1" applyAlignment="1" applyProtection="1">
      <alignment horizontal="center"/>
      <protection locked="0"/>
    </xf>
    <xf numFmtId="0" fontId="4" fillId="14" borderId="3" xfId="0" applyFont="1" applyFill="1" applyBorder="1" applyAlignment="1" applyProtection="1">
      <alignment horizontal="center"/>
      <protection locked="0"/>
    </xf>
    <xf numFmtId="169" fontId="3" fillId="14" borderId="1" xfId="0" applyNumberFormat="1" applyFont="1" applyFill="1" applyBorder="1" applyAlignment="1">
      <alignment horizontal="center"/>
    </xf>
    <xf numFmtId="169" fontId="1" fillId="14" borderId="2" xfId="1" applyNumberFormat="1" applyFont="1" applyFill="1" applyBorder="1" applyAlignment="1" applyProtection="1">
      <alignment horizontal="center"/>
      <protection locked="0"/>
    </xf>
    <xf numFmtId="169" fontId="1" fillId="14" borderId="35" xfId="1" applyNumberFormat="1" applyFont="1" applyFill="1" applyBorder="1" applyAlignment="1" applyProtection="1">
      <alignment horizontal="center"/>
      <protection locked="0"/>
    </xf>
    <xf numFmtId="169" fontId="1" fillId="14" borderId="34" xfId="1" applyNumberFormat="1" applyFont="1" applyFill="1" applyBorder="1" applyAlignment="1" applyProtection="1">
      <alignment horizontal="center"/>
      <protection locked="0"/>
    </xf>
    <xf numFmtId="0" fontId="6" fillId="14" borderId="2" xfId="0" applyFont="1" applyFill="1" applyBorder="1" applyAlignment="1" applyProtection="1">
      <alignment horizontal="center" vertical="center" textRotation="255"/>
      <protection locked="0"/>
    </xf>
    <xf numFmtId="0" fontId="6" fillId="14" borderId="35" xfId="0" applyFont="1" applyFill="1" applyBorder="1" applyAlignment="1" applyProtection="1">
      <alignment horizontal="center" vertical="center" textRotation="255"/>
      <protection locked="0"/>
    </xf>
    <xf numFmtId="0" fontId="6" fillId="14" borderId="34" xfId="0" applyFont="1" applyFill="1" applyBorder="1" applyAlignment="1" applyProtection="1">
      <alignment horizontal="center" vertical="center" textRotation="255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26" fillId="0" borderId="46" xfId="0" applyFont="1" applyBorder="1" applyAlignment="1" applyProtection="1">
      <alignment horizontal="center"/>
      <protection locked="0"/>
    </xf>
    <xf numFmtId="0" fontId="26" fillId="0" borderId="47" xfId="0" applyFont="1" applyBorder="1" applyAlignment="1" applyProtection="1">
      <alignment horizontal="center"/>
      <protection locked="0"/>
    </xf>
    <xf numFmtId="0" fontId="26" fillId="0" borderId="48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left"/>
      <protection locked="0"/>
    </xf>
    <xf numFmtId="0" fontId="8" fillId="0" borderId="11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51" xfId="0" applyFont="1" applyBorder="1" applyAlignment="1" applyProtection="1">
      <alignment horizontal="left"/>
      <protection locked="0"/>
    </xf>
    <xf numFmtId="0" fontId="8" fillId="0" borderId="19" xfId="0" applyFont="1" applyBorder="1" applyAlignment="1" applyProtection="1">
      <alignment horizontal="left"/>
      <protection locked="0"/>
    </xf>
    <xf numFmtId="0" fontId="8" fillId="0" borderId="52" xfId="0" applyFont="1" applyBorder="1" applyAlignment="1" applyProtection="1">
      <alignment horizontal="left"/>
      <protection locked="0"/>
    </xf>
    <xf numFmtId="0" fontId="3" fillId="14" borderId="30" xfId="0" applyFont="1" applyFill="1" applyBorder="1" applyAlignment="1">
      <alignment horizontal="center"/>
    </xf>
    <xf numFmtId="0" fontId="3" fillId="14" borderId="31" xfId="0" applyFont="1" applyFill="1" applyBorder="1" applyAlignment="1">
      <alignment horizontal="center"/>
    </xf>
    <xf numFmtId="0" fontId="3" fillId="14" borderId="32" xfId="0" applyFont="1" applyFill="1" applyBorder="1" applyAlignment="1">
      <alignment horizontal="center"/>
    </xf>
    <xf numFmtId="0" fontId="5" fillId="0" borderId="33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169" fontId="8" fillId="0" borderId="33" xfId="1" applyNumberFormat="1" applyFont="1" applyBorder="1" applyAlignment="1" applyProtection="1">
      <alignment horizontal="center"/>
    </xf>
    <xf numFmtId="169" fontId="8" fillId="0" borderId="3" xfId="1" applyNumberFormat="1" applyFont="1" applyBorder="1" applyAlignment="1" applyProtection="1">
      <alignment horizontal="center"/>
    </xf>
    <xf numFmtId="169" fontId="8" fillId="0" borderId="51" xfId="1" applyNumberFormat="1" applyFont="1" applyBorder="1" applyAlignment="1" applyProtection="1">
      <alignment horizontal="center"/>
      <protection locked="0"/>
    </xf>
    <xf numFmtId="169" fontId="8" fillId="0" borderId="52" xfId="1" applyNumberFormat="1" applyFont="1" applyBorder="1" applyAlignment="1" applyProtection="1">
      <alignment horizontal="center"/>
      <protection locked="0"/>
    </xf>
    <xf numFmtId="0" fontId="3" fillId="0" borderId="44" xfId="0" applyFont="1" applyBorder="1" applyAlignment="1" applyProtection="1">
      <alignment vertical="center" textRotation="255" wrapText="1"/>
      <protection locked="0"/>
    </xf>
    <xf numFmtId="0" fontId="3" fillId="0" borderId="49" xfId="0" applyFont="1" applyBorder="1" applyAlignment="1" applyProtection="1">
      <alignment vertical="center" textRotation="255" wrapText="1"/>
      <protection locked="0"/>
    </xf>
    <xf numFmtId="0" fontId="3" fillId="0" borderId="50" xfId="0" applyFont="1" applyBorder="1" applyAlignment="1" applyProtection="1">
      <alignment vertical="center" textRotation="255" wrapText="1"/>
      <protection locked="0"/>
    </xf>
    <xf numFmtId="1" fontId="30" fillId="14" borderId="29" xfId="0" applyNumberFormat="1" applyFont="1" applyFill="1" applyBorder="1" applyAlignment="1">
      <alignment horizontal="center" vertical="center"/>
    </xf>
    <xf numFmtId="1" fontId="30" fillId="14" borderId="15" xfId="0" applyNumberFormat="1" applyFont="1" applyFill="1" applyBorder="1" applyAlignment="1">
      <alignment horizontal="center" vertical="center"/>
    </xf>
    <xf numFmtId="1" fontId="30" fillId="14" borderId="17" xfId="0" applyNumberFormat="1" applyFont="1" applyFill="1" applyBorder="1" applyAlignment="1">
      <alignment horizontal="center" vertical="center"/>
    </xf>
    <xf numFmtId="1" fontId="30" fillId="14" borderId="4" xfId="0" applyNumberFormat="1" applyFont="1" applyFill="1" applyBorder="1" applyAlignment="1">
      <alignment horizontal="center" vertical="center"/>
    </xf>
    <xf numFmtId="1" fontId="30" fillId="14" borderId="0" xfId="0" applyNumberFormat="1" applyFont="1" applyFill="1" applyAlignment="1">
      <alignment horizontal="center" vertical="center"/>
    </xf>
    <xf numFmtId="1" fontId="30" fillId="14" borderId="45" xfId="0" applyNumberFormat="1" applyFont="1" applyFill="1" applyBorder="1" applyAlignment="1">
      <alignment horizontal="center" vertical="center"/>
    </xf>
    <xf numFmtId="1" fontId="30" fillId="14" borderId="30" xfId="0" applyNumberFormat="1" applyFont="1" applyFill="1" applyBorder="1" applyAlignment="1">
      <alignment horizontal="center" vertical="center"/>
    </xf>
    <xf numFmtId="1" fontId="30" fillId="14" borderId="31" xfId="0" applyNumberFormat="1" applyFont="1" applyFill="1" applyBorder="1" applyAlignment="1">
      <alignment horizontal="center" vertical="center"/>
    </xf>
    <xf numFmtId="1" fontId="30" fillId="14" borderId="38" xfId="0" applyNumberFormat="1" applyFont="1" applyFill="1" applyBorder="1" applyAlignment="1">
      <alignment horizontal="center" vertical="center"/>
    </xf>
    <xf numFmtId="172" fontId="7" fillId="0" borderId="33" xfId="2" applyNumberFormat="1" applyFont="1" applyBorder="1" applyAlignment="1" applyProtection="1">
      <alignment horizontal="center"/>
    </xf>
    <xf numFmtId="172" fontId="7" fillId="0" borderId="3" xfId="2" applyNumberFormat="1" applyFont="1" applyBorder="1" applyAlignment="1" applyProtection="1">
      <alignment horizontal="center"/>
    </xf>
    <xf numFmtId="0" fontId="3" fillId="18" borderId="33" xfId="0" applyFont="1" applyFill="1" applyBorder="1" applyAlignment="1" applyProtection="1">
      <alignment horizontal="center"/>
      <protection locked="0"/>
    </xf>
    <xf numFmtId="0" fontId="3" fillId="18" borderId="11" xfId="0" applyFont="1" applyFill="1" applyBorder="1" applyAlignment="1" applyProtection="1">
      <alignment horizontal="center"/>
      <protection locked="0"/>
    </xf>
    <xf numFmtId="0" fontId="3" fillId="18" borderId="3" xfId="0" applyFont="1" applyFill="1" applyBorder="1" applyAlignment="1" applyProtection="1">
      <alignment horizontal="center"/>
      <protection locked="0"/>
    </xf>
    <xf numFmtId="165" fontId="3" fillId="14" borderId="33" xfId="0" applyNumberFormat="1" applyFont="1" applyFill="1" applyBorder="1" applyAlignment="1" applyProtection="1">
      <alignment horizontal="center"/>
      <protection locked="0"/>
    </xf>
    <xf numFmtId="169" fontId="20" fillId="14" borderId="33" xfId="0" applyNumberFormat="1" applyFont="1" applyFill="1" applyBorder="1" applyAlignment="1">
      <alignment horizontal="center" vertical="center"/>
    </xf>
    <xf numFmtId="169" fontId="20" fillId="14" borderId="3" xfId="0" applyNumberFormat="1" applyFont="1" applyFill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/>
      <protection locked="0"/>
    </xf>
    <xf numFmtId="0" fontId="19" fillId="0" borderId="24" xfId="0" applyFont="1" applyBorder="1" applyAlignment="1" applyProtection="1">
      <alignment horizontal="center" vertical="center"/>
      <protection locked="0"/>
    </xf>
    <xf numFmtId="0" fontId="19" fillId="0" borderId="25" xfId="0" applyFont="1" applyBorder="1" applyAlignment="1" applyProtection="1">
      <alignment horizontal="center" vertical="center"/>
      <protection locked="0"/>
    </xf>
    <xf numFmtId="0" fontId="19" fillId="0" borderId="26" xfId="0" applyFont="1" applyBorder="1" applyAlignment="1" applyProtection="1">
      <alignment horizontal="center" vertical="center"/>
      <protection locked="0"/>
    </xf>
    <xf numFmtId="171" fontId="3" fillId="0" borderId="33" xfId="0" applyNumberFormat="1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171" fontId="5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/>
      <protection locked="0"/>
    </xf>
    <xf numFmtId="171" fontId="18" fillId="0" borderId="1" xfId="0" applyNumberFormat="1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vertical="center"/>
      <protection locked="0"/>
    </xf>
    <xf numFmtId="0" fontId="18" fillId="0" borderId="2" xfId="0" applyFont="1" applyBorder="1" applyAlignment="1" applyProtection="1">
      <alignment vertical="center"/>
      <protection locked="0"/>
    </xf>
    <xf numFmtId="171" fontId="3" fillId="0" borderId="33" xfId="1" applyNumberFormat="1" applyFont="1" applyBorder="1" applyAlignment="1" applyProtection="1">
      <alignment horizontal="center"/>
      <protection locked="0"/>
    </xf>
    <xf numFmtId="171" fontId="3" fillId="0" borderId="3" xfId="1" applyNumberFormat="1" applyFont="1" applyBorder="1" applyAlignment="1" applyProtection="1">
      <alignment horizontal="center"/>
      <protection locked="0"/>
    </xf>
    <xf numFmtId="171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9" borderId="33" xfId="0" applyFont="1" applyFill="1" applyBorder="1" applyAlignment="1" applyProtection="1">
      <alignment horizontal="center"/>
      <protection locked="0"/>
    </xf>
    <xf numFmtId="0" fontId="3" fillId="9" borderId="11" xfId="0" applyFont="1" applyFill="1" applyBorder="1" applyAlignment="1" applyProtection="1">
      <alignment horizontal="center"/>
      <protection locked="0"/>
    </xf>
    <xf numFmtId="0" fontId="3" fillId="9" borderId="3" xfId="0" applyFont="1" applyFill="1" applyBorder="1" applyAlignment="1" applyProtection="1">
      <alignment horizontal="center"/>
      <protection locked="0"/>
    </xf>
    <xf numFmtId="171" fontId="11" fillId="13" borderId="1" xfId="1" applyNumberFormat="1" applyFont="1" applyFill="1" applyBorder="1" applyAlignment="1" applyProtection="1">
      <alignment vertical="center"/>
      <protection locked="0"/>
    </xf>
    <xf numFmtId="172" fontId="3" fillId="14" borderId="29" xfId="2" applyNumberFormat="1" applyFont="1" applyFill="1" applyBorder="1" applyAlignment="1" applyProtection="1">
      <alignment horizontal="center" vertical="center"/>
    </xf>
    <xf numFmtId="172" fontId="3" fillId="14" borderId="30" xfId="2" applyNumberFormat="1" applyFont="1" applyFill="1" applyBorder="1" applyAlignment="1" applyProtection="1">
      <alignment horizontal="center" vertical="center"/>
    </xf>
    <xf numFmtId="172" fontId="3" fillId="14" borderId="32" xfId="2" applyNumberFormat="1" applyFont="1" applyFill="1" applyBorder="1" applyAlignment="1" applyProtection="1">
      <alignment horizontal="center" vertical="center"/>
    </xf>
    <xf numFmtId="172" fontId="3" fillId="14" borderId="16" xfId="2" applyNumberFormat="1" applyFont="1" applyFill="1" applyBorder="1" applyAlignment="1" applyProtection="1">
      <alignment horizontal="center" vertical="center"/>
    </xf>
    <xf numFmtId="169" fontId="0" fillId="2" borderId="1" xfId="1" applyNumberFormat="1" applyFont="1" applyFill="1" applyBorder="1" applyProtection="1">
      <protection locked="0"/>
    </xf>
  </cellXfs>
  <cellStyles count="5">
    <cellStyle name="Millares" xfId="1" builtinId="3"/>
    <cellStyle name="Moneda" xfId="2" builtinId="4"/>
    <cellStyle name="Moneda [0]" xfId="3" builtinId="7"/>
    <cellStyle name="Normal" xfId="0" builtinId="0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4"/>
  <sheetViews>
    <sheetView topLeftCell="D1" zoomScale="140" zoomScaleNormal="140" workbookViewId="0">
      <selection activeCell="N30" sqref="N30"/>
    </sheetView>
  </sheetViews>
  <sheetFormatPr baseColWidth="10" defaultColWidth="11.42578125" defaultRowHeight="15"/>
  <cols>
    <col min="1" max="1" width="8.42578125" style="42" customWidth="1"/>
    <col min="2" max="2" width="7.85546875" style="42" customWidth="1"/>
    <col min="3" max="3" width="12.28515625" style="42" customWidth="1"/>
    <col min="4" max="4" width="4.7109375" style="42" customWidth="1"/>
    <col min="5" max="7" width="9" style="42" customWidth="1"/>
    <col min="8" max="8" width="9.7109375" style="42" customWidth="1"/>
    <col min="9" max="9" width="12.42578125" style="42" customWidth="1"/>
    <col min="10" max="10" width="15.140625" style="42" customWidth="1"/>
    <col min="11" max="11" width="21.42578125" style="42" customWidth="1"/>
    <col min="12" max="16384" width="11.42578125" style="42"/>
  </cols>
  <sheetData>
    <row r="1" spans="1:11" ht="27" thickBot="1">
      <c r="A1" s="205" t="s">
        <v>88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 ht="15.75" thickBot="1">
      <c r="A2" s="208" t="s">
        <v>89</v>
      </c>
      <c r="B2" s="209"/>
      <c r="C2" s="209"/>
      <c r="D2" s="209"/>
      <c r="E2" s="209"/>
      <c r="F2" s="209"/>
      <c r="G2" s="209"/>
      <c r="H2" s="209"/>
      <c r="I2" s="209"/>
      <c r="J2" s="209"/>
      <c r="K2" s="210"/>
    </row>
    <row r="3" spans="1:11" ht="15.75" thickBot="1">
      <c r="A3" s="211" t="s">
        <v>90</v>
      </c>
      <c r="B3" s="212"/>
      <c r="C3" s="213"/>
      <c r="D3" s="214" t="s">
        <v>91</v>
      </c>
      <c r="E3" s="215"/>
      <c r="F3" s="215"/>
      <c r="G3" s="215"/>
      <c r="H3" s="215"/>
      <c r="I3" s="215"/>
      <c r="J3" s="215"/>
      <c r="K3" s="216"/>
    </row>
    <row r="4" spans="1:11" ht="25.5" customHeight="1" thickBot="1">
      <c r="A4" s="43" t="s">
        <v>92</v>
      </c>
      <c r="B4" s="217"/>
      <c r="C4" s="218"/>
      <c r="D4" s="219"/>
      <c r="E4" s="44" t="s">
        <v>93</v>
      </c>
      <c r="F4" s="217"/>
      <c r="G4" s="218"/>
      <c r="H4" s="218"/>
      <c r="I4" s="219"/>
      <c r="J4" s="45" t="s">
        <v>94</v>
      </c>
      <c r="K4" s="45"/>
    </row>
    <row r="5" spans="1:11" ht="16.5" thickBot="1">
      <c r="A5" s="43" t="s">
        <v>95</v>
      </c>
      <c r="B5" s="221"/>
      <c r="C5" s="222"/>
      <c r="D5" s="223"/>
      <c r="E5" s="46" t="s">
        <v>96</v>
      </c>
      <c r="F5" s="224">
        <f ca="1">+NOW()</f>
        <v>46154.317557407405</v>
      </c>
      <c r="G5" s="225"/>
      <c r="H5" s="222"/>
      <c r="I5" s="223"/>
      <c r="J5" s="47" t="s">
        <v>97</v>
      </c>
      <c r="K5" s="48">
        <v>30</v>
      </c>
    </row>
    <row r="6" spans="1:11" ht="15.75" thickBot="1">
      <c r="A6" s="226" t="s">
        <v>98</v>
      </c>
      <c r="B6" s="227"/>
      <c r="C6" s="227"/>
      <c r="D6" s="227"/>
      <c r="E6" s="227"/>
      <c r="F6" s="227"/>
      <c r="G6" s="227"/>
      <c r="H6" s="227"/>
      <c r="I6" s="227"/>
      <c r="J6" s="227"/>
      <c r="K6" s="228"/>
    </row>
    <row r="7" spans="1:11" ht="51">
      <c r="A7" s="49" t="s">
        <v>115</v>
      </c>
      <c r="B7" s="229" t="s">
        <v>99</v>
      </c>
      <c r="C7" s="229"/>
      <c r="D7" s="229"/>
      <c r="E7" s="63" t="s">
        <v>100</v>
      </c>
      <c r="F7" s="63" t="s">
        <v>101</v>
      </c>
      <c r="G7" s="63" t="s">
        <v>138</v>
      </c>
      <c r="H7" s="63" t="s">
        <v>102</v>
      </c>
      <c r="I7" s="82" t="s">
        <v>103</v>
      </c>
      <c r="J7" s="63" t="s">
        <v>104</v>
      </c>
      <c r="K7" s="50" t="s">
        <v>105</v>
      </c>
    </row>
    <row r="8" spans="1:11" ht="15.75" customHeight="1">
      <c r="A8" s="51">
        <v>1</v>
      </c>
      <c r="B8" s="220" t="s">
        <v>106</v>
      </c>
      <c r="C8" s="220"/>
      <c r="D8" s="220"/>
      <c r="E8" s="52">
        <v>200</v>
      </c>
      <c r="F8" s="52" t="s">
        <v>107</v>
      </c>
      <c r="G8" s="52" t="s">
        <v>139</v>
      </c>
      <c r="H8" s="53">
        <f>+E8*$K$5</f>
        <v>6000</v>
      </c>
      <c r="I8" s="80">
        <v>18000</v>
      </c>
      <c r="J8" s="54">
        <f>+IF(G8="Kilo",I8/1000*E8,IF(G8="Libra",I8/500*E8,IF(G8="Litro",I8/1000*E8,IF(G8="Galón",I8/3800*E8,IF(G8="Onza",I8/30*E8," ")))))</f>
        <v>3600</v>
      </c>
      <c r="K8" s="55">
        <f>IF(ISERROR($K$5*J8)," ",$K$5*J8)</f>
        <v>108000</v>
      </c>
    </row>
    <row r="9" spans="1:11" ht="15.75" customHeight="1">
      <c r="A9" s="51">
        <v>2</v>
      </c>
      <c r="B9" s="220" t="s">
        <v>108</v>
      </c>
      <c r="C9" s="220"/>
      <c r="D9" s="220"/>
      <c r="E9" s="52">
        <v>2</v>
      </c>
      <c r="F9" s="52" t="s">
        <v>107</v>
      </c>
      <c r="G9" s="52" t="s">
        <v>140</v>
      </c>
      <c r="H9" s="53">
        <f>+E9*$K$5</f>
        <v>60</v>
      </c>
      <c r="I9" s="80">
        <v>900</v>
      </c>
      <c r="J9" s="54">
        <f t="shared" ref="J9:J19" si="0">+IF(G9="Kilo",I9/1000*E9,IF(G9="Libra",I9/500*E9,IF(G9="Litro",I9/1000*E9,IF(G9="Galón",I9/3800*E9,IF(G9="Onza",I9/30*E9," ")))))</f>
        <v>3.6</v>
      </c>
      <c r="K9" s="55">
        <f t="shared" ref="K9:K19" si="1">IF(ISERROR($K$5*J9)," ",$K$5*J9)</f>
        <v>108</v>
      </c>
    </row>
    <row r="10" spans="1:11">
      <c r="A10" s="51">
        <v>3</v>
      </c>
      <c r="B10" s="220" t="s">
        <v>109</v>
      </c>
      <c r="C10" s="220"/>
      <c r="D10" s="220"/>
      <c r="E10" s="52">
        <v>100</v>
      </c>
      <c r="F10" s="52" t="s">
        <v>107</v>
      </c>
      <c r="G10" s="52" t="s">
        <v>140</v>
      </c>
      <c r="H10" s="53">
        <f>+E10*$K$5</f>
        <v>3000</v>
      </c>
      <c r="I10" s="80">
        <v>2500</v>
      </c>
      <c r="J10" s="54">
        <f t="shared" si="0"/>
        <v>500</v>
      </c>
      <c r="K10" s="55">
        <f t="shared" si="1"/>
        <v>15000</v>
      </c>
    </row>
    <row r="11" spans="1:11">
      <c r="A11" s="51">
        <v>4</v>
      </c>
      <c r="B11" s="220" t="s">
        <v>110</v>
      </c>
      <c r="C11" s="220"/>
      <c r="D11" s="220"/>
      <c r="E11" s="52">
        <v>2</v>
      </c>
      <c r="F11" s="52" t="s">
        <v>111</v>
      </c>
      <c r="G11" s="52" t="s">
        <v>141</v>
      </c>
      <c r="H11" s="53">
        <f>+E11*$K$5</f>
        <v>60</v>
      </c>
      <c r="I11" s="80">
        <v>8500</v>
      </c>
      <c r="J11" s="54">
        <f t="shared" si="0"/>
        <v>17</v>
      </c>
      <c r="K11" s="55">
        <f t="shared" si="1"/>
        <v>510</v>
      </c>
    </row>
    <row r="12" spans="1:11" ht="15.75" customHeight="1">
      <c r="A12" s="51">
        <v>5</v>
      </c>
      <c r="B12" s="220" t="s">
        <v>112</v>
      </c>
      <c r="C12" s="220"/>
      <c r="D12" s="220"/>
      <c r="E12" s="52">
        <v>2</v>
      </c>
      <c r="F12" s="52" t="s">
        <v>107</v>
      </c>
      <c r="G12" s="52" t="s">
        <v>140</v>
      </c>
      <c r="H12" s="53">
        <v>1</v>
      </c>
      <c r="I12" s="80">
        <v>4300</v>
      </c>
      <c r="J12" s="54">
        <f t="shared" si="0"/>
        <v>17.2</v>
      </c>
      <c r="K12" s="55">
        <f t="shared" si="1"/>
        <v>516</v>
      </c>
    </row>
    <row r="13" spans="1:11" ht="15" customHeight="1">
      <c r="A13" s="51">
        <v>6</v>
      </c>
      <c r="B13" s="220" t="s">
        <v>113</v>
      </c>
      <c r="C13" s="220"/>
      <c r="D13" s="220"/>
      <c r="E13" s="52">
        <v>25</v>
      </c>
      <c r="F13" s="52" t="s">
        <v>107</v>
      </c>
      <c r="G13" s="52" t="s">
        <v>140</v>
      </c>
      <c r="H13" s="53">
        <v>25</v>
      </c>
      <c r="I13" s="80">
        <v>900</v>
      </c>
      <c r="J13" s="54">
        <f t="shared" si="0"/>
        <v>45</v>
      </c>
      <c r="K13" s="55">
        <f t="shared" si="1"/>
        <v>1350</v>
      </c>
    </row>
    <row r="14" spans="1:11" ht="15" customHeight="1">
      <c r="A14" s="51"/>
      <c r="B14" s="220"/>
      <c r="C14" s="220"/>
      <c r="D14" s="220"/>
      <c r="E14" s="52"/>
      <c r="F14" s="52"/>
      <c r="G14" s="52"/>
      <c r="H14" s="53"/>
      <c r="I14" s="80"/>
      <c r="J14" s="54" t="str">
        <f t="shared" si="0"/>
        <v xml:space="preserve"> </v>
      </c>
      <c r="K14" s="55" t="str">
        <f t="shared" si="1"/>
        <v xml:space="preserve"> </v>
      </c>
    </row>
    <row r="15" spans="1:11" ht="15" customHeight="1">
      <c r="A15" s="51"/>
      <c r="B15" s="220"/>
      <c r="C15" s="220"/>
      <c r="D15" s="220"/>
      <c r="E15" s="52"/>
      <c r="F15" s="52"/>
      <c r="G15" s="52"/>
      <c r="H15" s="53"/>
      <c r="I15" s="80"/>
      <c r="J15" s="54" t="str">
        <f t="shared" si="0"/>
        <v xml:space="preserve"> </v>
      </c>
      <c r="K15" s="55" t="str">
        <f t="shared" si="1"/>
        <v xml:space="preserve"> </v>
      </c>
    </row>
    <row r="16" spans="1:11" ht="15" customHeight="1">
      <c r="A16" s="51"/>
      <c r="B16" s="220"/>
      <c r="C16" s="220"/>
      <c r="D16" s="220"/>
      <c r="E16" s="52"/>
      <c r="F16" s="52"/>
      <c r="G16" s="52"/>
      <c r="H16" s="53"/>
      <c r="I16" s="80"/>
      <c r="J16" s="54" t="str">
        <f t="shared" si="0"/>
        <v xml:space="preserve"> </v>
      </c>
      <c r="K16" s="55" t="str">
        <f t="shared" si="1"/>
        <v xml:space="preserve"> </v>
      </c>
    </row>
    <row r="17" spans="1:11">
      <c r="A17" s="51"/>
      <c r="B17" s="220"/>
      <c r="C17" s="220"/>
      <c r="D17" s="220"/>
      <c r="E17" s="52"/>
      <c r="F17" s="52"/>
      <c r="G17" s="52"/>
      <c r="H17" s="53"/>
      <c r="I17" s="80"/>
      <c r="J17" s="54" t="str">
        <f t="shared" si="0"/>
        <v xml:space="preserve"> </v>
      </c>
      <c r="K17" s="55" t="str">
        <f t="shared" si="1"/>
        <v xml:space="preserve"> </v>
      </c>
    </row>
    <row r="18" spans="1:11">
      <c r="A18" s="51"/>
      <c r="B18" s="220"/>
      <c r="C18" s="220"/>
      <c r="D18" s="220"/>
      <c r="E18" s="52"/>
      <c r="F18" s="52"/>
      <c r="G18" s="52"/>
      <c r="H18" s="56"/>
      <c r="I18" s="80"/>
      <c r="J18" s="54" t="str">
        <f t="shared" si="0"/>
        <v xml:space="preserve"> </v>
      </c>
      <c r="K18" s="55" t="str">
        <f t="shared" si="1"/>
        <v xml:space="preserve"> </v>
      </c>
    </row>
    <row r="19" spans="1:11">
      <c r="A19" s="57"/>
      <c r="B19" s="220"/>
      <c r="C19" s="220"/>
      <c r="D19" s="220"/>
      <c r="E19" s="52"/>
      <c r="F19" s="52"/>
      <c r="G19" s="52"/>
      <c r="H19" s="56">
        <f>+E19*$K$5/1000</f>
        <v>0</v>
      </c>
      <c r="I19" s="81"/>
      <c r="J19" s="54" t="str">
        <f t="shared" si="0"/>
        <v xml:space="preserve"> </v>
      </c>
      <c r="K19" s="55" t="str">
        <f t="shared" si="1"/>
        <v xml:space="preserve"> </v>
      </c>
    </row>
    <row r="20" spans="1:11" ht="16.5" thickBot="1">
      <c r="A20" s="231" t="s">
        <v>114</v>
      </c>
      <c r="B20" s="232"/>
      <c r="C20" s="232"/>
      <c r="D20" s="232"/>
      <c r="E20" s="232"/>
      <c r="F20" s="232"/>
      <c r="G20" s="232"/>
      <c r="H20" s="232"/>
      <c r="I20" s="232"/>
      <c r="J20" s="233"/>
      <c r="K20" s="58">
        <f>SUM(K8:K19)</f>
        <v>125484</v>
      </c>
    </row>
    <row r="21" spans="1:11">
      <c r="A21" s="234" t="s">
        <v>116</v>
      </c>
      <c r="B21" s="235"/>
      <c r="C21" s="235"/>
      <c r="D21" s="235"/>
      <c r="E21" s="235"/>
      <c r="F21" s="235"/>
      <c r="G21" s="235"/>
      <c r="H21" s="235"/>
      <c r="I21" s="235"/>
      <c r="J21" s="235"/>
      <c r="K21" s="236"/>
    </row>
    <row r="22" spans="1:11" ht="26.25" customHeight="1">
      <c r="A22" s="59">
        <v>7</v>
      </c>
      <c r="B22" s="230" t="s">
        <v>117</v>
      </c>
      <c r="C22" s="230"/>
      <c r="D22" s="230"/>
      <c r="E22" s="230"/>
      <c r="F22" s="52" t="s">
        <v>107</v>
      </c>
      <c r="G22" s="52" t="s">
        <v>139</v>
      </c>
      <c r="H22" s="64">
        <v>76</v>
      </c>
      <c r="I22" s="66">
        <v>1800</v>
      </c>
      <c r="J22" s="54">
        <f t="shared" ref="J22:J24" si="2">+IF(G22="Kilo",I22/1000*H22,IF(G22="Libra",I22/500*H22,IF(G22="Litro",I22/1000*H22,IF(G22="Galón",I22/3800*H22,IF(G22="Onza",I22/30*H22," ")))))</f>
        <v>136.80000000000001</v>
      </c>
      <c r="K22" s="55">
        <f t="shared" ref="K22:K24" si="3">IF(ISERROR($K$5*J22)," ",$K$5*J22)</f>
        <v>4104</v>
      </c>
    </row>
    <row r="23" spans="1:11">
      <c r="A23" s="59">
        <v>8</v>
      </c>
      <c r="B23" s="230" t="s">
        <v>148</v>
      </c>
      <c r="C23" s="230"/>
      <c r="D23" s="230"/>
      <c r="E23" s="230"/>
      <c r="F23" s="52" t="s">
        <v>107</v>
      </c>
      <c r="G23" s="52" t="s">
        <v>140</v>
      </c>
      <c r="H23" s="64">
        <v>4</v>
      </c>
      <c r="I23" s="60">
        <v>900</v>
      </c>
      <c r="J23" s="54">
        <f t="shared" si="2"/>
        <v>7.2</v>
      </c>
      <c r="K23" s="55">
        <f t="shared" si="3"/>
        <v>216</v>
      </c>
    </row>
    <row r="24" spans="1:11">
      <c r="A24" s="59"/>
      <c r="B24" s="230" t="s">
        <v>110</v>
      </c>
      <c r="C24" s="230"/>
      <c r="D24" s="230"/>
      <c r="E24" s="230"/>
      <c r="F24" s="52" t="s">
        <v>152</v>
      </c>
      <c r="G24" s="52" t="s">
        <v>141</v>
      </c>
      <c r="H24" s="64">
        <v>2</v>
      </c>
      <c r="I24" s="60">
        <v>8500</v>
      </c>
      <c r="J24" s="54">
        <f t="shared" si="2"/>
        <v>17</v>
      </c>
      <c r="K24" s="55">
        <f t="shared" si="3"/>
        <v>510</v>
      </c>
    </row>
    <row r="25" spans="1:11" ht="15.75">
      <c r="A25" s="237" t="s">
        <v>118</v>
      </c>
      <c r="B25" s="238"/>
      <c r="C25" s="238"/>
      <c r="D25" s="238"/>
      <c r="E25" s="238"/>
      <c r="F25" s="238"/>
      <c r="G25" s="238"/>
      <c r="H25" s="238"/>
      <c r="I25" s="238"/>
      <c r="J25" s="238"/>
      <c r="K25" s="65">
        <f>SUM(K22:K24)</f>
        <v>4830</v>
      </c>
    </row>
    <row r="26" spans="1:11" ht="15.75">
      <c r="A26" s="239" t="s">
        <v>119</v>
      </c>
      <c r="B26" s="240"/>
      <c r="C26" s="240"/>
      <c r="D26" s="240"/>
      <c r="E26" s="240"/>
      <c r="F26" s="240"/>
      <c r="G26" s="240"/>
      <c r="H26" s="240"/>
      <c r="I26" s="240"/>
      <c r="J26" s="240"/>
      <c r="K26" s="241"/>
    </row>
    <row r="27" spans="1:11">
      <c r="A27" s="247"/>
      <c r="B27" s="248"/>
      <c r="C27" s="248"/>
      <c r="D27" s="248"/>
      <c r="E27" s="248"/>
      <c r="F27" s="248"/>
      <c r="G27" s="248"/>
      <c r="H27" s="248"/>
      <c r="I27" s="248"/>
      <c r="J27" s="248"/>
      <c r="K27" s="249"/>
    </row>
    <row r="28" spans="1:11" ht="45" customHeight="1">
      <c r="A28" s="250"/>
      <c r="B28" s="251"/>
      <c r="C28" s="251"/>
      <c r="D28" s="251"/>
      <c r="E28" s="251"/>
      <c r="F28" s="251"/>
      <c r="G28" s="251"/>
      <c r="H28" s="251"/>
      <c r="I28" s="251"/>
      <c r="J28" s="251"/>
      <c r="K28" s="252"/>
    </row>
    <row r="29" spans="1:11">
      <c r="A29" s="244" t="s">
        <v>120</v>
      </c>
      <c r="B29" s="245"/>
      <c r="C29" s="245"/>
      <c r="D29" s="245"/>
      <c r="E29" s="245"/>
      <c r="F29" s="245"/>
      <c r="G29" s="246"/>
      <c r="H29" s="242" t="s">
        <v>121</v>
      </c>
      <c r="I29" s="242"/>
      <c r="J29" s="242"/>
      <c r="K29" s="243"/>
    </row>
    <row r="30" spans="1:11" ht="40.5" customHeight="1">
      <c r="A30" s="255"/>
      <c r="B30" s="256"/>
      <c r="C30" s="256"/>
      <c r="D30" s="256"/>
      <c r="E30" s="256"/>
      <c r="F30" s="256"/>
      <c r="G30" s="257"/>
      <c r="H30" s="253"/>
      <c r="I30" s="253"/>
      <c r="J30" s="253"/>
      <c r="K30" s="254"/>
    </row>
    <row r="31" spans="1:11">
      <c r="A31" s="244" t="s">
        <v>122</v>
      </c>
      <c r="B31" s="245"/>
      <c r="C31" s="245"/>
      <c r="D31" s="245"/>
      <c r="E31" s="245"/>
      <c r="F31" s="245"/>
      <c r="G31" s="246"/>
      <c r="H31" s="242" t="s">
        <v>123</v>
      </c>
      <c r="I31" s="242"/>
      <c r="J31" s="242"/>
      <c r="K31" s="243"/>
    </row>
    <row r="32" spans="1:11" ht="36.75" customHeight="1">
      <c r="A32" s="261"/>
      <c r="B32" s="262"/>
      <c r="C32" s="262"/>
      <c r="D32" s="262"/>
      <c r="E32" s="262"/>
      <c r="F32" s="262"/>
      <c r="G32" s="263"/>
      <c r="H32" s="258"/>
      <c r="I32" s="259"/>
      <c r="J32" s="259"/>
      <c r="K32" s="260"/>
    </row>
    <row r="33" spans="1:11" ht="19.5" customHeight="1">
      <c r="A33" s="244" t="s">
        <v>124</v>
      </c>
      <c r="B33" s="245"/>
      <c r="C33" s="245"/>
      <c r="D33" s="245"/>
      <c r="E33" s="245"/>
      <c r="F33" s="245"/>
      <c r="G33" s="245"/>
      <c r="H33" s="245"/>
      <c r="I33" s="245"/>
      <c r="J33" s="245"/>
      <c r="K33" s="264"/>
    </row>
    <row r="34" spans="1:11">
      <c r="A34" s="247"/>
      <c r="B34" s="248"/>
      <c r="C34" s="248"/>
      <c r="D34" s="248"/>
      <c r="E34" s="248"/>
      <c r="F34" s="248"/>
      <c r="G34" s="248"/>
      <c r="H34" s="248"/>
      <c r="I34" s="248"/>
      <c r="J34" s="248"/>
      <c r="K34" s="249"/>
    </row>
    <row r="35" spans="1:11" ht="27" customHeight="1">
      <c r="A35" s="250"/>
      <c r="B35" s="251"/>
      <c r="C35" s="251"/>
      <c r="D35" s="251"/>
      <c r="E35" s="251"/>
      <c r="F35" s="251"/>
      <c r="G35" s="251"/>
      <c r="H35" s="251"/>
      <c r="I35" s="251"/>
      <c r="J35" s="251"/>
      <c r="K35" s="252"/>
    </row>
    <row r="36" spans="1:11" ht="15.75">
      <c r="A36" s="265" t="s">
        <v>125</v>
      </c>
      <c r="B36" s="266"/>
      <c r="C36" s="266"/>
      <c r="D36" s="266"/>
      <c r="E36" s="266"/>
      <c r="F36" s="266"/>
      <c r="G36" s="266"/>
      <c r="H36" s="266"/>
      <c r="I36" s="266"/>
      <c r="J36" s="266"/>
      <c r="K36" s="267"/>
    </row>
    <row r="37" spans="1:11">
      <c r="A37" s="268" t="s">
        <v>126</v>
      </c>
      <c r="B37" s="269"/>
      <c r="C37" s="269"/>
      <c r="D37" s="269"/>
      <c r="E37" s="269"/>
      <c r="F37" s="269"/>
      <c r="G37" s="269"/>
      <c r="H37" s="269"/>
      <c r="I37" s="269"/>
      <c r="J37" s="269"/>
      <c r="K37" s="77">
        <f>+K20+K25</f>
        <v>130314</v>
      </c>
    </row>
    <row r="38" spans="1:11">
      <c r="A38" s="270" t="s">
        <v>127</v>
      </c>
      <c r="B38" s="271"/>
      <c r="C38" s="271"/>
      <c r="D38" s="271"/>
      <c r="E38" s="271"/>
      <c r="F38" s="271"/>
      <c r="G38" s="271"/>
      <c r="H38" s="271"/>
      <c r="I38" s="271"/>
      <c r="J38" s="61">
        <v>0.03</v>
      </c>
      <c r="K38" s="67">
        <f>+K37*J38</f>
        <v>3909.42</v>
      </c>
    </row>
    <row r="39" spans="1:11">
      <c r="A39" s="272" t="s">
        <v>150</v>
      </c>
      <c r="B39" s="273"/>
      <c r="C39" s="273"/>
      <c r="D39" s="273"/>
      <c r="E39" s="273"/>
      <c r="F39" s="273"/>
      <c r="G39" s="273"/>
      <c r="H39" s="273"/>
      <c r="I39" s="273"/>
      <c r="J39" s="273"/>
      <c r="K39" s="71">
        <f>+K37+K38</f>
        <v>134223.42000000001</v>
      </c>
    </row>
    <row r="40" spans="1:11">
      <c r="A40" s="286" t="s">
        <v>142</v>
      </c>
      <c r="B40" s="287"/>
      <c r="C40" s="287"/>
      <c r="D40" s="287"/>
      <c r="E40" s="287"/>
      <c r="F40" s="287"/>
      <c r="G40" s="288"/>
      <c r="H40" s="285" t="s">
        <v>145</v>
      </c>
      <c r="I40" s="285"/>
      <c r="J40" s="74">
        <v>1200</v>
      </c>
      <c r="K40" s="68">
        <f>+J40*K5</f>
        <v>36000</v>
      </c>
    </row>
    <row r="41" spans="1:11">
      <c r="A41" s="72" t="s">
        <v>143</v>
      </c>
      <c r="B41" s="73"/>
      <c r="C41" s="73"/>
      <c r="D41" s="73"/>
      <c r="E41" s="73"/>
      <c r="F41" s="73"/>
      <c r="G41" s="73"/>
      <c r="H41" s="285" t="s">
        <v>146</v>
      </c>
      <c r="I41" s="285"/>
      <c r="J41" s="75">
        <f>+J40*1/3</f>
        <v>400</v>
      </c>
      <c r="K41" s="68">
        <f>+K40*1/3</f>
        <v>12000</v>
      </c>
    </row>
    <row r="42" spans="1:11">
      <c r="A42" s="279" t="s">
        <v>144</v>
      </c>
      <c r="B42" s="280"/>
      <c r="C42" s="280"/>
      <c r="D42" s="280"/>
      <c r="E42" s="280"/>
      <c r="F42" s="280"/>
      <c r="G42" s="280"/>
      <c r="H42" s="280"/>
      <c r="I42" s="280"/>
      <c r="J42" s="281"/>
      <c r="K42" s="70">
        <f>+SUM(K39:K41)</f>
        <v>182223.42</v>
      </c>
    </row>
    <row r="43" spans="1:11">
      <c r="A43" s="279" t="s">
        <v>151</v>
      </c>
      <c r="B43" s="280"/>
      <c r="C43" s="280"/>
      <c r="D43" s="280"/>
      <c r="E43" s="280"/>
      <c r="F43" s="280"/>
      <c r="G43" s="280"/>
      <c r="H43" s="280"/>
      <c r="I43" s="280"/>
      <c r="J43" s="281"/>
      <c r="K43" s="70">
        <f>+K42/K5</f>
        <v>6074.1140000000005</v>
      </c>
    </row>
    <row r="44" spans="1:11">
      <c r="A44" s="282" t="s">
        <v>147</v>
      </c>
      <c r="B44" s="283"/>
      <c r="C44" s="283"/>
      <c r="D44" s="283"/>
      <c r="E44" s="283"/>
      <c r="F44" s="283"/>
      <c r="G44" s="283"/>
      <c r="H44" s="283"/>
      <c r="I44" s="283"/>
      <c r="J44" s="284"/>
      <c r="K44" s="69">
        <v>0.5</v>
      </c>
    </row>
    <row r="45" spans="1:11">
      <c r="A45" s="274" t="s">
        <v>128</v>
      </c>
      <c r="B45" s="275"/>
      <c r="C45" s="275"/>
      <c r="D45" s="275"/>
      <c r="E45" s="275"/>
      <c r="F45" s="275"/>
      <c r="G45" s="275"/>
      <c r="H45" s="275"/>
      <c r="I45" s="275"/>
      <c r="J45" s="275"/>
      <c r="K45" s="70">
        <f>K43/(1-K44)</f>
        <v>12148.228000000001</v>
      </c>
    </row>
    <row r="46" spans="1:11">
      <c r="A46" s="276" t="s">
        <v>129</v>
      </c>
      <c r="B46" s="277"/>
      <c r="C46" s="277"/>
      <c r="D46" s="277"/>
      <c r="E46" s="277"/>
      <c r="F46" s="277"/>
      <c r="G46" s="277"/>
      <c r="H46" s="277"/>
      <c r="I46" s="278"/>
      <c r="J46" s="62">
        <v>0.16</v>
      </c>
      <c r="K46" s="67">
        <f>+K45*J46</f>
        <v>1943.7164800000003</v>
      </c>
    </row>
    <row r="47" spans="1:11">
      <c r="A47" s="289" t="s">
        <v>130</v>
      </c>
      <c r="B47" s="290"/>
      <c r="C47" s="290"/>
      <c r="D47" s="290"/>
      <c r="E47" s="290"/>
      <c r="F47" s="290"/>
      <c r="G47" s="290"/>
      <c r="H47" s="290"/>
      <c r="I47" s="290"/>
      <c r="J47" s="291"/>
      <c r="K47" s="70">
        <f>(K45+K46)</f>
        <v>14091.944480000002</v>
      </c>
    </row>
    <row r="48" spans="1:11" ht="15" customHeight="1">
      <c r="A48" s="292" t="s">
        <v>131</v>
      </c>
      <c r="B48" s="293"/>
      <c r="C48" s="293"/>
      <c r="D48" s="293"/>
      <c r="E48" s="293"/>
      <c r="F48" s="293"/>
      <c r="G48" s="293"/>
      <c r="H48" s="293"/>
      <c r="I48" s="293"/>
      <c r="J48" s="294"/>
      <c r="K48" s="67">
        <f>+SUM(E8:E19,H22)</f>
        <v>407</v>
      </c>
    </row>
    <row r="49" spans="1:11" ht="21" customHeight="1">
      <c r="A49" s="298" t="s">
        <v>149</v>
      </c>
      <c r="B49" s="299"/>
      <c r="C49" s="299"/>
      <c r="D49" s="300"/>
      <c r="E49" s="295" t="s">
        <v>132</v>
      </c>
      <c r="F49" s="296"/>
      <c r="G49" s="296"/>
      <c r="H49" s="296"/>
      <c r="I49" s="296"/>
      <c r="J49" s="297"/>
      <c r="K49" s="78"/>
    </row>
    <row r="50" spans="1:11" ht="35.25" customHeight="1">
      <c r="A50" s="301"/>
      <c r="B50" s="302"/>
      <c r="C50" s="302"/>
      <c r="D50" s="302"/>
      <c r="E50" s="271" t="s">
        <v>133</v>
      </c>
      <c r="F50" s="271"/>
      <c r="G50" s="271"/>
      <c r="H50" s="271"/>
      <c r="I50" s="271"/>
      <c r="J50" s="271"/>
      <c r="K50" s="67">
        <f>+K47</f>
        <v>14091.944480000002</v>
      </c>
    </row>
    <row r="51" spans="1:11" ht="36" customHeight="1">
      <c r="A51" s="301"/>
      <c r="B51" s="302"/>
      <c r="C51" s="302"/>
      <c r="D51" s="302"/>
      <c r="E51" s="271" t="s">
        <v>134</v>
      </c>
      <c r="F51" s="271"/>
      <c r="G51" s="271"/>
      <c r="H51" s="271"/>
      <c r="I51" s="271"/>
      <c r="J51" s="271"/>
      <c r="K51" s="67">
        <f>+K45</f>
        <v>12148.228000000001</v>
      </c>
    </row>
    <row r="52" spans="1:11" ht="35.25" customHeight="1">
      <c r="A52" s="301"/>
      <c r="B52" s="302"/>
      <c r="C52" s="302"/>
      <c r="D52" s="302"/>
      <c r="E52" s="271" t="s">
        <v>135</v>
      </c>
      <c r="F52" s="271"/>
      <c r="G52" s="271"/>
      <c r="H52" s="271"/>
      <c r="I52" s="271"/>
      <c r="J52" s="76">
        <v>0.16</v>
      </c>
      <c r="K52" s="67">
        <f>+K51*J52</f>
        <v>1943.7164800000003</v>
      </c>
    </row>
    <row r="53" spans="1:11">
      <c r="A53" s="301"/>
      <c r="B53" s="302"/>
      <c r="C53" s="302"/>
      <c r="D53" s="302"/>
      <c r="E53" s="305" t="s">
        <v>136</v>
      </c>
      <c r="F53" s="305"/>
      <c r="G53" s="305"/>
      <c r="H53" s="305"/>
      <c r="I53" s="305"/>
      <c r="J53" s="305"/>
      <c r="K53" s="306"/>
    </row>
    <row r="54" spans="1:11" ht="19.5" customHeight="1" thickBot="1">
      <c r="A54" s="303"/>
      <c r="B54" s="304"/>
      <c r="C54" s="304"/>
      <c r="D54" s="304"/>
      <c r="E54" s="307" t="s">
        <v>137</v>
      </c>
      <c r="F54" s="307"/>
      <c r="G54" s="307"/>
      <c r="H54" s="307"/>
      <c r="I54" s="307"/>
      <c r="J54" s="307"/>
      <c r="K54" s="79">
        <f>+K39/K42</f>
        <v>0.73658709731164085</v>
      </c>
    </row>
  </sheetData>
  <mergeCells count="62">
    <mergeCell ref="A47:J47"/>
    <mergeCell ref="A48:J48"/>
    <mergeCell ref="E50:J50"/>
    <mergeCell ref="E51:J51"/>
    <mergeCell ref="E52:I52"/>
    <mergeCell ref="E49:J49"/>
    <mergeCell ref="A49:D49"/>
    <mergeCell ref="A50:D54"/>
    <mergeCell ref="E53:K53"/>
    <mergeCell ref="E54:J54"/>
    <mergeCell ref="A39:J39"/>
    <mergeCell ref="A45:J45"/>
    <mergeCell ref="A46:I46"/>
    <mergeCell ref="A42:J42"/>
    <mergeCell ref="A44:J44"/>
    <mergeCell ref="H41:I41"/>
    <mergeCell ref="H40:I40"/>
    <mergeCell ref="A43:J43"/>
    <mergeCell ref="A40:G40"/>
    <mergeCell ref="A33:K33"/>
    <mergeCell ref="A36:K36"/>
    <mergeCell ref="A37:J37"/>
    <mergeCell ref="A34:K35"/>
    <mergeCell ref="A38:I38"/>
    <mergeCell ref="H30:K30"/>
    <mergeCell ref="H31:K31"/>
    <mergeCell ref="A30:G30"/>
    <mergeCell ref="A31:G31"/>
    <mergeCell ref="H32:K32"/>
    <mergeCell ref="A32:G32"/>
    <mergeCell ref="A25:J25"/>
    <mergeCell ref="A26:K26"/>
    <mergeCell ref="H29:K29"/>
    <mergeCell ref="A29:G29"/>
    <mergeCell ref="A27:K28"/>
    <mergeCell ref="B22:E22"/>
    <mergeCell ref="B23:E23"/>
    <mergeCell ref="B24:E24"/>
    <mergeCell ref="B16:D16"/>
    <mergeCell ref="B17:D17"/>
    <mergeCell ref="B18:D18"/>
    <mergeCell ref="B19:D19"/>
    <mergeCell ref="A20:J20"/>
    <mergeCell ref="A21:K21"/>
    <mergeCell ref="B15:D15"/>
    <mergeCell ref="B5:D5"/>
    <mergeCell ref="F5:I5"/>
    <mergeCell ref="A6:K6"/>
    <mergeCell ref="B7:D7"/>
    <mergeCell ref="B8:D8"/>
    <mergeCell ref="B9:D9"/>
    <mergeCell ref="B10:D10"/>
    <mergeCell ref="B11:D11"/>
    <mergeCell ref="B12:D12"/>
    <mergeCell ref="B13:D13"/>
    <mergeCell ref="B14:D14"/>
    <mergeCell ref="A1:K1"/>
    <mergeCell ref="A2:K2"/>
    <mergeCell ref="A3:C3"/>
    <mergeCell ref="D3:K3"/>
    <mergeCell ref="B4:D4"/>
    <mergeCell ref="F4:I4"/>
  </mergeCells>
  <dataValidations count="2">
    <dataValidation type="list" allowBlank="1" showInputMessage="1" showErrorMessage="1" sqref="F8:F18 F22:F24" xr:uid="{00000000-0002-0000-0000-000000000000}">
      <formula1>"Grs, ml, cc, Oz, Lb, Kl, Unidad, Cant. suficiente"</formula1>
    </dataValidation>
    <dataValidation type="list" allowBlank="1" showInputMessage="1" showErrorMessage="1" sqref="G8:G19 G22:G24" xr:uid="{00000000-0002-0000-0000-000001000000}">
      <formula1>"Kilo, Libra, Onza, Galón, Arroba, Litro, Otra"</formula1>
    </dataValidation>
  </dataValidations>
  <pageMargins left="1.17" right="0.52" top="0.46" bottom="0.87" header="0.31496062992125984" footer="0.31496062992125984"/>
  <pageSetup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S65"/>
  <sheetViews>
    <sheetView tabSelected="1" topLeftCell="A10" zoomScale="150" zoomScaleNormal="150" workbookViewId="0">
      <selection activeCell="M27" sqref="M27"/>
    </sheetView>
  </sheetViews>
  <sheetFormatPr baseColWidth="10" defaultColWidth="11.42578125" defaultRowHeight="15"/>
  <cols>
    <col min="1" max="1" width="6.140625" style="163" customWidth="1"/>
    <col min="2" max="2" width="12.42578125" style="163" customWidth="1"/>
    <col min="3" max="3" width="10" style="163" customWidth="1"/>
    <col min="4" max="4" width="5.28515625" style="163" customWidth="1"/>
    <col min="5" max="5" width="9.42578125" style="163" customWidth="1"/>
    <col min="6" max="6" width="9" style="163" customWidth="1"/>
    <col min="7" max="7" width="8.42578125" style="163" customWidth="1"/>
    <col min="8" max="8" width="14.7109375" style="163" bestFit="1" customWidth="1"/>
    <col min="9" max="9" width="14.140625" style="163" customWidth="1"/>
    <col min="10" max="10" width="14.5703125" style="163" customWidth="1"/>
    <col min="11" max="11" width="10.140625" style="163" customWidth="1"/>
    <col min="12" max="12" width="12.85546875" style="163" bestFit="1" customWidth="1"/>
    <col min="13" max="13" width="18" style="163" bestFit="1" customWidth="1"/>
    <col min="14" max="16384" width="11.42578125" style="163"/>
  </cols>
  <sheetData>
    <row r="1" spans="1:19" ht="26.25">
      <c r="A1" s="378" t="s">
        <v>189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80"/>
    </row>
    <row r="2" spans="1:19" ht="27" customHeight="1">
      <c r="A2" s="381" t="s">
        <v>172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</row>
    <row r="3" spans="1:19" ht="25.5" customHeight="1">
      <c r="A3" s="382" t="s">
        <v>90</v>
      </c>
      <c r="B3" s="382"/>
      <c r="C3" s="382"/>
      <c r="D3" s="382"/>
      <c r="E3" s="382"/>
      <c r="F3" s="383"/>
      <c r="G3" s="384"/>
      <c r="H3" s="384"/>
      <c r="I3" s="384"/>
      <c r="J3" s="384"/>
      <c r="K3" s="385" t="s">
        <v>173</v>
      </c>
      <c r="L3" s="385"/>
      <c r="M3" s="158"/>
    </row>
    <row r="4" spans="1:19" ht="25.5" customHeight="1">
      <c r="A4" s="164" t="s">
        <v>95</v>
      </c>
      <c r="B4" s="371"/>
      <c r="C4" s="371"/>
      <c r="D4" s="371"/>
      <c r="E4" s="165" t="s">
        <v>92</v>
      </c>
      <c r="F4" s="159"/>
      <c r="G4" s="166" t="s">
        <v>93</v>
      </c>
      <c r="H4" s="157"/>
      <c r="I4" s="167" t="s">
        <v>96</v>
      </c>
      <c r="J4" s="372"/>
      <c r="K4" s="373"/>
      <c r="L4" s="168" t="s">
        <v>153</v>
      </c>
      <c r="M4" s="598">
        <v>10</v>
      </c>
    </row>
    <row r="5" spans="1:19" ht="26.25" customHeight="1">
      <c r="A5" s="375" t="s">
        <v>98</v>
      </c>
      <c r="B5" s="376"/>
      <c r="C5" s="376"/>
      <c r="D5" s="376"/>
      <c r="E5" s="376"/>
      <c r="F5" s="376"/>
      <c r="G5" s="376"/>
      <c r="H5" s="376"/>
      <c r="I5" s="376"/>
      <c r="J5" s="376"/>
      <c r="K5" s="376"/>
      <c r="L5" s="376"/>
      <c r="M5" s="377"/>
    </row>
    <row r="6" spans="1:19" ht="74.25" customHeight="1">
      <c r="A6" s="169" t="s">
        <v>115</v>
      </c>
      <c r="B6" s="374" t="s">
        <v>99</v>
      </c>
      <c r="C6" s="374"/>
      <c r="D6" s="374"/>
      <c r="E6" s="170" t="s">
        <v>100</v>
      </c>
      <c r="F6" s="170" t="s">
        <v>101</v>
      </c>
      <c r="G6" s="170" t="s">
        <v>203</v>
      </c>
      <c r="H6" s="170" t="s">
        <v>190</v>
      </c>
      <c r="I6" s="170" t="s">
        <v>163</v>
      </c>
      <c r="J6" s="170" t="s">
        <v>154</v>
      </c>
      <c r="K6" s="170" t="s">
        <v>103</v>
      </c>
      <c r="L6" s="170" t="s">
        <v>104</v>
      </c>
      <c r="M6" s="171" t="s">
        <v>197</v>
      </c>
      <c r="Q6" s="172"/>
      <c r="S6" s="173"/>
    </row>
    <row r="7" spans="1:19" ht="15.75" customHeight="1">
      <c r="A7" s="112">
        <v>1</v>
      </c>
      <c r="B7" s="308" t="s">
        <v>198</v>
      </c>
      <c r="C7" s="308"/>
      <c r="D7" s="308"/>
      <c r="E7" s="113">
        <v>200</v>
      </c>
      <c r="F7" s="114" t="s">
        <v>107</v>
      </c>
      <c r="G7" s="185">
        <v>0.7</v>
      </c>
      <c r="H7" s="204">
        <f>IFERROR(IF(G7&lt;=100%, E7/G7, E7*G7), 0) * $M$4</f>
        <v>2857.1428571428573</v>
      </c>
      <c r="I7" s="187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>5.7142857142857144</v>
      </c>
      <c r="J7" s="192" t="s">
        <v>140</v>
      </c>
      <c r="K7" s="116">
        <v>25000</v>
      </c>
      <c r="L7" s="126">
        <f>IF(ISERROR(M7/$M$4)," ",(M7/$M$4))</f>
        <v>14285.714285714286</v>
      </c>
      <c r="M7" s="186">
        <f>IF(ISERROR(I7*K7)," ",I7*K7)</f>
        <v>142857.14285714287</v>
      </c>
      <c r="O7" s="174"/>
      <c r="P7" s="198"/>
      <c r="Q7" s="199"/>
    </row>
    <row r="8" spans="1:19" ht="15.75" customHeight="1">
      <c r="A8" s="112">
        <v>2</v>
      </c>
      <c r="B8" s="308" t="s">
        <v>199</v>
      </c>
      <c r="C8" s="308"/>
      <c r="D8" s="308"/>
      <c r="E8" s="113">
        <v>5</v>
      </c>
      <c r="F8" s="114" t="s">
        <v>107</v>
      </c>
      <c r="G8" s="185">
        <v>0.95</v>
      </c>
      <c r="H8" s="204">
        <f t="shared" ref="H8:H26" si="0">IFERROR(IF(G8&lt;=100%, E8/G8, E8*G8), 0) * $M$4</f>
        <v>52.631578947368425</v>
      </c>
      <c r="I8" s="187">
        <f t="shared" ref="I8:I26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>0.10526315789473685</v>
      </c>
      <c r="J8" s="192" t="s">
        <v>140</v>
      </c>
      <c r="K8" s="116">
        <v>10000</v>
      </c>
      <c r="L8" s="126">
        <f t="shared" ref="L8:L26" si="2">IF(ISERROR(M8/$M$4)," ",(M8/$M$4))</f>
        <v>105.26315789473685</v>
      </c>
      <c r="M8" s="186">
        <f t="shared" ref="M8:M26" si="3">IF(ISERROR(I8*K8)," ",I8*K8)</f>
        <v>1052.6315789473686</v>
      </c>
      <c r="N8" s="172"/>
      <c r="P8" s="173"/>
    </row>
    <row r="9" spans="1:19" ht="15.75">
      <c r="A9" s="112">
        <v>3</v>
      </c>
      <c r="B9" s="308" t="s">
        <v>148</v>
      </c>
      <c r="C9" s="308"/>
      <c r="D9" s="308"/>
      <c r="E9" s="113">
        <v>3</v>
      </c>
      <c r="F9" s="114" t="s">
        <v>107</v>
      </c>
      <c r="G9" s="185">
        <v>1</v>
      </c>
      <c r="H9" s="204">
        <f t="shared" si="0"/>
        <v>30</v>
      </c>
      <c r="I9" s="187">
        <f t="shared" si="1"/>
        <v>0.06</v>
      </c>
      <c r="J9" s="192" t="s">
        <v>140</v>
      </c>
      <c r="K9" s="116">
        <v>3000</v>
      </c>
      <c r="L9" s="126">
        <f t="shared" si="2"/>
        <v>18</v>
      </c>
      <c r="M9" s="186">
        <f t="shared" si="3"/>
        <v>180</v>
      </c>
      <c r="N9" s="172"/>
      <c r="O9" s="172"/>
    </row>
    <row r="10" spans="1:19" ht="15.75">
      <c r="A10" s="112">
        <v>4</v>
      </c>
      <c r="B10" s="308" t="s">
        <v>209</v>
      </c>
      <c r="C10" s="308"/>
      <c r="D10" s="308"/>
      <c r="E10" s="113">
        <v>10</v>
      </c>
      <c r="F10" s="114" t="s">
        <v>111</v>
      </c>
      <c r="G10" s="185">
        <v>1</v>
      </c>
      <c r="H10" s="204">
        <f t="shared" si="0"/>
        <v>100</v>
      </c>
      <c r="I10" s="187">
        <f t="shared" si="1"/>
        <v>0.1</v>
      </c>
      <c r="J10" s="192" t="s">
        <v>141</v>
      </c>
      <c r="K10" s="116">
        <v>10000</v>
      </c>
      <c r="L10" s="126">
        <f t="shared" si="2"/>
        <v>100</v>
      </c>
      <c r="M10" s="186">
        <f t="shared" si="3"/>
        <v>1000</v>
      </c>
    </row>
    <row r="11" spans="1:19" ht="15.75" customHeight="1">
      <c r="A11" s="112">
        <v>5</v>
      </c>
      <c r="B11" s="308"/>
      <c r="C11" s="308"/>
      <c r="D11" s="308"/>
      <c r="E11" s="113"/>
      <c r="F11" s="114"/>
      <c r="G11" s="185"/>
      <c r="H11" s="204">
        <f t="shared" si="0"/>
        <v>0</v>
      </c>
      <c r="I11" s="187" t="str">
        <f t="shared" si="1"/>
        <v xml:space="preserve"> </v>
      </c>
      <c r="J11" s="192"/>
      <c r="K11" s="116"/>
      <c r="L11" s="126" t="str">
        <f t="shared" si="2"/>
        <v xml:space="preserve"> </v>
      </c>
      <c r="M11" s="186" t="str">
        <f t="shared" si="3"/>
        <v xml:space="preserve"> </v>
      </c>
      <c r="O11" s="172"/>
    </row>
    <row r="12" spans="1:19" ht="15" customHeight="1">
      <c r="A12" s="112">
        <v>6</v>
      </c>
      <c r="B12" s="308"/>
      <c r="C12" s="308"/>
      <c r="D12" s="308"/>
      <c r="E12" s="113"/>
      <c r="F12" s="114"/>
      <c r="G12" s="185"/>
      <c r="H12" s="204">
        <f t="shared" si="0"/>
        <v>0</v>
      </c>
      <c r="I12" s="187" t="str">
        <f t="shared" si="1"/>
        <v xml:space="preserve"> </v>
      </c>
      <c r="J12" s="192"/>
      <c r="K12" s="116"/>
      <c r="L12" s="126" t="str">
        <f t="shared" si="2"/>
        <v xml:space="preserve"> </v>
      </c>
      <c r="M12" s="186" t="str">
        <f t="shared" si="3"/>
        <v xml:space="preserve"> </v>
      </c>
    </row>
    <row r="13" spans="1:19" ht="15" customHeight="1">
      <c r="A13" s="112">
        <v>7</v>
      </c>
      <c r="B13" s="308"/>
      <c r="C13" s="308"/>
      <c r="D13" s="308"/>
      <c r="E13" s="113"/>
      <c r="F13" s="114"/>
      <c r="G13" s="185"/>
      <c r="H13" s="204">
        <f t="shared" si="0"/>
        <v>0</v>
      </c>
      <c r="I13" s="187" t="str">
        <f t="shared" si="1"/>
        <v xml:space="preserve"> </v>
      </c>
      <c r="J13" s="192"/>
      <c r="K13" s="116"/>
      <c r="L13" s="126" t="str">
        <f t="shared" si="2"/>
        <v xml:space="preserve"> </v>
      </c>
      <c r="M13" s="186" t="str">
        <f t="shared" si="3"/>
        <v xml:space="preserve"> </v>
      </c>
    </row>
    <row r="14" spans="1:19" ht="15" customHeight="1">
      <c r="A14" s="112">
        <v>8</v>
      </c>
      <c r="B14" s="308"/>
      <c r="C14" s="308"/>
      <c r="D14" s="308"/>
      <c r="E14" s="113"/>
      <c r="F14" s="114"/>
      <c r="G14" s="185"/>
      <c r="H14" s="204">
        <f t="shared" si="0"/>
        <v>0</v>
      </c>
      <c r="I14" s="187" t="str">
        <f t="shared" si="1"/>
        <v xml:space="preserve"> </v>
      </c>
      <c r="J14" s="192"/>
      <c r="K14" s="116"/>
      <c r="L14" s="126" t="str">
        <f t="shared" si="2"/>
        <v xml:space="preserve"> </v>
      </c>
      <c r="M14" s="186" t="str">
        <f t="shared" si="3"/>
        <v xml:space="preserve"> </v>
      </c>
    </row>
    <row r="15" spans="1:19" ht="15" customHeight="1">
      <c r="A15" s="112">
        <v>9</v>
      </c>
      <c r="B15" s="308"/>
      <c r="C15" s="308"/>
      <c r="D15" s="308"/>
      <c r="E15" s="113"/>
      <c r="F15" s="114"/>
      <c r="G15" s="185"/>
      <c r="H15" s="204">
        <f t="shared" si="0"/>
        <v>0</v>
      </c>
      <c r="I15" s="187" t="str">
        <f t="shared" si="1"/>
        <v xml:space="preserve"> </v>
      </c>
      <c r="J15" s="192"/>
      <c r="K15" s="116"/>
      <c r="L15" s="126" t="str">
        <f t="shared" si="2"/>
        <v xml:space="preserve"> </v>
      </c>
      <c r="M15" s="186" t="str">
        <f t="shared" si="3"/>
        <v xml:space="preserve"> </v>
      </c>
    </row>
    <row r="16" spans="1:19" ht="15" customHeight="1">
      <c r="A16" s="112">
        <v>10</v>
      </c>
      <c r="B16" s="308"/>
      <c r="C16" s="308"/>
      <c r="D16" s="308"/>
      <c r="E16" s="113"/>
      <c r="F16" s="114"/>
      <c r="G16" s="185"/>
      <c r="H16" s="204">
        <f t="shared" si="0"/>
        <v>0</v>
      </c>
      <c r="I16" s="187" t="str">
        <f t="shared" si="1"/>
        <v xml:space="preserve"> </v>
      </c>
      <c r="J16" s="192"/>
      <c r="K16" s="116"/>
      <c r="L16" s="126" t="str">
        <f t="shared" si="2"/>
        <v xml:space="preserve"> </v>
      </c>
      <c r="M16" s="186" t="str">
        <f t="shared" si="3"/>
        <v xml:space="preserve"> </v>
      </c>
    </row>
    <row r="17" spans="1:16" ht="15" customHeight="1">
      <c r="A17" s="112">
        <v>11</v>
      </c>
      <c r="B17" s="308"/>
      <c r="C17" s="308"/>
      <c r="D17" s="308"/>
      <c r="E17" s="113"/>
      <c r="F17" s="114"/>
      <c r="G17" s="185"/>
      <c r="H17" s="204">
        <f t="shared" si="0"/>
        <v>0</v>
      </c>
      <c r="I17" s="187" t="str">
        <f t="shared" si="1"/>
        <v xml:space="preserve"> </v>
      </c>
      <c r="J17" s="192"/>
      <c r="K17" s="116"/>
      <c r="L17" s="126" t="str">
        <f t="shared" si="2"/>
        <v xml:space="preserve"> </v>
      </c>
      <c r="M17" s="186" t="str">
        <f t="shared" si="3"/>
        <v xml:space="preserve"> </v>
      </c>
    </row>
    <row r="18" spans="1:16" ht="15" customHeight="1">
      <c r="A18" s="112">
        <v>12</v>
      </c>
      <c r="B18" s="308"/>
      <c r="C18" s="308"/>
      <c r="D18" s="308"/>
      <c r="E18" s="113"/>
      <c r="F18" s="114"/>
      <c r="G18" s="185"/>
      <c r="H18" s="204">
        <f t="shared" si="0"/>
        <v>0</v>
      </c>
      <c r="I18" s="187" t="str">
        <f t="shared" si="1"/>
        <v xml:space="preserve"> </v>
      </c>
      <c r="J18" s="192"/>
      <c r="K18" s="116"/>
      <c r="L18" s="126" t="str">
        <f t="shared" si="2"/>
        <v xml:space="preserve"> </v>
      </c>
      <c r="M18" s="186" t="str">
        <f t="shared" si="3"/>
        <v xml:space="preserve"> </v>
      </c>
    </row>
    <row r="19" spans="1:16" ht="15" customHeight="1">
      <c r="A19" s="112">
        <v>13</v>
      </c>
      <c r="B19" s="308"/>
      <c r="C19" s="308"/>
      <c r="D19" s="308"/>
      <c r="E19" s="113"/>
      <c r="F19" s="114"/>
      <c r="G19" s="185"/>
      <c r="H19" s="204">
        <f t="shared" si="0"/>
        <v>0</v>
      </c>
      <c r="I19" s="187" t="str">
        <f t="shared" si="1"/>
        <v xml:space="preserve"> </v>
      </c>
      <c r="J19" s="192"/>
      <c r="K19" s="116"/>
      <c r="L19" s="126" t="str">
        <f t="shared" si="2"/>
        <v xml:space="preserve"> </v>
      </c>
      <c r="M19" s="186" t="str">
        <f t="shared" si="3"/>
        <v xml:space="preserve"> </v>
      </c>
    </row>
    <row r="20" spans="1:16" ht="15" customHeight="1">
      <c r="A20" s="112">
        <v>14</v>
      </c>
      <c r="B20" s="308"/>
      <c r="C20" s="308"/>
      <c r="D20" s="308"/>
      <c r="E20" s="113"/>
      <c r="F20" s="114"/>
      <c r="G20" s="185"/>
      <c r="H20" s="204">
        <f t="shared" si="0"/>
        <v>0</v>
      </c>
      <c r="I20" s="187" t="str">
        <f t="shared" si="1"/>
        <v xml:space="preserve"> </v>
      </c>
      <c r="J20" s="192"/>
      <c r="K20" s="116"/>
      <c r="L20" s="126" t="str">
        <f t="shared" si="2"/>
        <v xml:space="preserve"> </v>
      </c>
      <c r="M20" s="186" t="str">
        <f t="shared" si="3"/>
        <v xml:space="preserve"> </v>
      </c>
    </row>
    <row r="21" spans="1:16" ht="15" customHeight="1">
      <c r="A21" s="112">
        <v>15</v>
      </c>
      <c r="B21" s="308"/>
      <c r="C21" s="308"/>
      <c r="D21" s="308"/>
      <c r="E21" s="113"/>
      <c r="F21" s="114"/>
      <c r="G21" s="185"/>
      <c r="H21" s="204">
        <f t="shared" si="0"/>
        <v>0</v>
      </c>
      <c r="I21" s="187" t="str">
        <f t="shared" si="1"/>
        <v xml:space="preserve"> </v>
      </c>
      <c r="J21" s="192"/>
      <c r="K21" s="116"/>
      <c r="L21" s="126" t="str">
        <f t="shared" si="2"/>
        <v xml:space="preserve"> </v>
      </c>
      <c r="M21" s="186" t="str">
        <f t="shared" si="3"/>
        <v xml:space="preserve"> </v>
      </c>
      <c r="O21" s="175"/>
    </row>
    <row r="22" spans="1:16" ht="15" customHeight="1">
      <c r="A22" s="112">
        <v>16</v>
      </c>
      <c r="B22" s="308"/>
      <c r="C22" s="308"/>
      <c r="D22" s="308"/>
      <c r="E22" s="113"/>
      <c r="F22" s="114"/>
      <c r="G22" s="185"/>
      <c r="H22" s="204">
        <f t="shared" si="0"/>
        <v>0</v>
      </c>
      <c r="I22" s="187" t="str">
        <f t="shared" si="1"/>
        <v xml:space="preserve"> </v>
      </c>
      <c r="J22" s="192"/>
      <c r="K22" s="116"/>
      <c r="L22" s="126" t="str">
        <f t="shared" si="2"/>
        <v xml:space="preserve"> </v>
      </c>
      <c r="M22" s="186" t="str">
        <f t="shared" si="3"/>
        <v xml:space="preserve"> </v>
      </c>
    </row>
    <row r="23" spans="1:16" ht="15" customHeight="1">
      <c r="A23" s="112">
        <v>17</v>
      </c>
      <c r="B23" s="308"/>
      <c r="C23" s="308"/>
      <c r="D23" s="308"/>
      <c r="E23" s="113"/>
      <c r="F23" s="114"/>
      <c r="G23" s="185"/>
      <c r="H23" s="204">
        <f t="shared" si="0"/>
        <v>0</v>
      </c>
      <c r="I23" s="187" t="str">
        <f t="shared" si="1"/>
        <v xml:space="preserve"> </v>
      </c>
      <c r="J23" s="192"/>
      <c r="K23" s="116"/>
      <c r="L23" s="126" t="str">
        <f t="shared" si="2"/>
        <v xml:space="preserve"> </v>
      </c>
      <c r="M23" s="186" t="str">
        <f t="shared" si="3"/>
        <v xml:space="preserve"> </v>
      </c>
      <c r="P23" s="172"/>
    </row>
    <row r="24" spans="1:16" ht="15.75">
      <c r="A24" s="112">
        <v>18</v>
      </c>
      <c r="B24" s="308"/>
      <c r="C24" s="308"/>
      <c r="D24" s="308"/>
      <c r="E24" s="113"/>
      <c r="F24" s="114"/>
      <c r="G24" s="185"/>
      <c r="H24" s="204">
        <f t="shared" si="0"/>
        <v>0</v>
      </c>
      <c r="I24" s="187" t="str">
        <f t="shared" si="1"/>
        <v xml:space="preserve"> </v>
      </c>
      <c r="J24" s="192"/>
      <c r="K24" s="116"/>
      <c r="L24" s="126" t="str">
        <f t="shared" si="2"/>
        <v xml:space="preserve"> </v>
      </c>
      <c r="M24" s="186" t="str">
        <f t="shared" si="3"/>
        <v xml:space="preserve"> </v>
      </c>
    </row>
    <row r="25" spans="1:16" ht="15.75">
      <c r="A25" s="112">
        <v>19</v>
      </c>
      <c r="B25" s="308"/>
      <c r="C25" s="308"/>
      <c r="D25" s="308"/>
      <c r="E25" s="113"/>
      <c r="F25" s="114"/>
      <c r="G25" s="185"/>
      <c r="H25" s="204">
        <f t="shared" si="0"/>
        <v>0</v>
      </c>
      <c r="I25" s="187" t="str">
        <f t="shared" si="1"/>
        <v xml:space="preserve"> </v>
      </c>
      <c r="J25" s="192"/>
      <c r="K25" s="116"/>
      <c r="L25" s="126" t="str">
        <f t="shared" si="2"/>
        <v xml:space="preserve"> </v>
      </c>
      <c r="M25" s="186" t="str">
        <f t="shared" si="3"/>
        <v xml:space="preserve"> </v>
      </c>
    </row>
    <row r="26" spans="1:16" ht="15.75">
      <c r="A26" s="112">
        <v>20</v>
      </c>
      <c r="B26" s="308"/>
      <c r="C26" s="308"/>
      <c r="D26" s="308"/>
      <c r="E26" s="113"/>
      <c r="F26" s="114"/>
      <c r="G26" s="185"/>
      <c r="H26" s="204">
        <f t="shared" si="0"/>
        <v>0</v>
      </c>
      <c r="I26" s="187" t="str">
        <f t="shared" si="1"/>
        <v xml:space="preserve"> </v>
      </c>
      <c r="J26" s="192"/>
      <c r="K26" s="116"/>
      <c r="L26" s="126" t="str">
        <f t="shared" si="2"/>
        <v xml:space="preserve"> </v>
      </c>
      <c r="M26" s="186" t="str">
        <f t="shared" si="3"/>
        <v xml:space="preserve"> </v>
      </c>
      <c r="O26" s="176"/>
    </row>
    <row r="27" spans="1:16" ht="16.5" thickBot="1">
      <c r="A27" s="360" t="s">
        <v>114</v>
      </c>
      <c r="B27" s="361"/>
      <c r="C27" s="361"/>
      <c r="D27" s="361"/>
      <c r="E27" s="361"/>
      <c r="F27" s="361"/>
      <c r="G27" s="361"/>
      <c r="H27" s="361"/>
      <c r="I27" s="361"/>
      <c r="J27" s="361"/>
      <c r="K27" s="361"/>
      <c r="L27" s="118">
        <f>SUM(L7:L26)</f>
        <v>14508.977443609023</v>
      </c>
      <c r="M27" s="128">
        <f>SUM(M7:M26)</f>
        <v>145089.77443609023</v>
      </c>
    </row>
    <row r="28" spans="1:16" ht="15.75">
      <c r="A28" s="362" t="s">
        <v>116</v>
      </c>
      <c r="B28" s="363"/>
      <c r="C28" s="363"/>
      <c r="D28" s="363"/>
      <c r="E28" s="363"/>
      <c r="F28" s="363"/>
      <c r="G28" s="363"/>
      <c r="H28" s="363"/>
      <c r="I28" s="363"/>
      <c r="J28" s="363"/>
      <c r="K28" s="363"/>
      <c r="L28" s="364"/>
      <c r="M28" s="365"/>
    </row>
    <row r="29" spans="1:16" ht="17.25" customHeight="1">
      <c r="A29" s="119">
        <v>1</v>
      </c>
      <c r="B29" s="230">
        <f>+'R. E. C 1'!F3</f>
        <v>0</v>
      </c>
      <c r="C29" s="230"/>
      <c r="D29" s="230"/>
      <c r="E29" s="230"/>
      <c r="F29" s="230"/>
      <c r="G29" s="230"/>
      <c r="H29" s="230"/>
      <c r="I29" s="230"/>
      <c r="J29" s="230"/>
      <c r="K29" s="230"/>
      <c r="L29" s="137">
        <f>+'R. E. C 1'!L19</f>
        <v>0</v>
      </c>
      <c r="M29" s="138">
        <f>+'R. E. C 1'!M19</f>
        <v>0</v>
      </c>
    </row>
    <row r="30" spans="1:16" ht="17.25" customHeight="1">
      <c r="A30" s="119">
        <v>2</v>
      </c>
      <c r="B30" s="230">
        <f>+'R. E. C 2'!F3</f>
        <v>0</v>
      </c>
      <c r="C30" s="230"/>
      <c r="D30" s="230"/>
      <c r="E30" s="230"/>
      <c r="F30" s="230"/>
      <c r="G30" s="230"/>
      <c r="H30" s="230"/>
      <c r="I30" s="230" t="str">
        <f>+IF(J30="Kilo",H30/1000,IF(J30="Huevo caja x 30",H30/30,IF(J30="Libra",H30/500,IF(J30="Litro",H30/1000,IF(J30="Galón",H30/3800,IF(J30="Onza",H30/30,IF(J30="Fco. 500 ml",H30/500,IF(J30="Fco. 200 ml",H30/200,IF(J30="Unidad",E30*$M$5," ")))))))))</f>
        <v xml:space="preserve"> </v>
      </c>
      <c r="J30" s="230"/>
      <c r="K30" s="230"/>
      <c r="L30" s="137">
        <f>+'R. E. C 2'!L19</f>
        <v>0</v>
      </c>
      <c r="M30" s="138">
        <f>+'R. E. C 2'!M19</f>
        <v>0</v>
      </c>
    </row>
    <row r="31" spans="1:16" ht="17.25" customHeight="1">
      <c r="A31" s="119">
        <v>3</v>
      </c>
      <c r="B31" s="230">
        <f>+'R. E. C  3'!F3</f>
        <v>0</v>
      </c>
      <c r="C31" s="230"/>
      <c r="D31" s="230"/>
      <c r="E31" s="230"/>
      <c r="F31" s="230"/>
      <c r="G31" s="230"/>
      <c r="H31" s="230"/>
      <c r="I31" s="230" t="str">
        <f>+IF(J31="Kilo",H31/1000,IF(J31="Huevo caja x 30",H31/30,IF(J31="Libra",H31/500,IF(J31="Litro",H31/1000,IF(J31="Galón",H31/3800,IF(J31="Onza",H31/30,IF(J31="Fco. 500 ml",H31/500,IF(J31="Fco. 200 ml",H31/200,IF(J31="Unidad",E31*$M$5," ")))))))))</f>
        <v xml:space="preserve"> </v>
      </c>
      <c r="J31" s="230"/>
      <c r="K31" s="230"/>
      <c r="L31" s="137">
        <f>+'R. E. C  3'!L19</f>
        <v>0</v>
      </c>
      <c r="M31" s="138">
        <f>+'R. E. C  3'!M19</f>
        <v>0</v>
      </c>
    </row>
    <row r="32" spans="1:16">
      <c r="A32" s="119">
        <v>4</v>
      </c>
      <c r="B32" s="230">
        <f>+'R. E. C  4'!F3</f>
        <v>0</v>
      </c>
      <c r="C32" s="230"/>
      <c r="D32" s="230"/>
      <c r="E32" s="230"/>
      <c r="F32" s="230"/>
      <c r="G32" s="230"/>
      <c r="H32" s="230" t="e">
        <f>+#REF!+(#REF!*G32)</f>
        <v>#REF!</v>
      </c>
      <c r="I32" s="230" t="str">
        <f>+IF(J32="Kilo",H32/1000,IF(J32="Huevo caja x 30",H32/30,IF(J32="Libra",H32/500,IF(J32="Litro",H32/1000,IF(J32="Galón",H32/3800,IF(J32="Onza",H32/30,IF(J32="Fco. 500 ml",H32/500,IF(J32="Fco. 200 ml",H32/200,IF(J32="Unidad",E32*$M$5," ")))))))))</f>
        <v xml:space="preserve"> </v>
      </c>
      <c r="J32" s="230"/>
      <c r="K32" s="230"/>
      <c r="L32" s="137">
        <f>+'R. E. C  4'!L19</f>
        <v>0</v>
      </c>
      <c r="M32" s="138">
        <f>+'R. E. C  4'!M19</f>
        <v>0</v>
      </c>
    </row>
    <row r="33" spans="1:13" ht="15" customHeight="1">
      <c r="A33" s="119">
        <v>5</v>
      </c>
      <c r="B33" s="309">
        <f>+'R. E. C  5'!F3</f>
        <v>0</v>
      </c>
      <c r="C33" s="310"/>
      <c r="D33" s="310"/>
      <c r="E33" s="310"/>
      <c r="F33" s="310"/>
      <c r="G33" s="310"/>
      <c r="H33" s="310" t="e">
        <f>+#REF!+(#REF!*G33)</f>
        <v>#REF!</v>
      </c>
      <c r="I33" s="310" t="str">
        <f>+IF(J33="Kilo",H33/1000,IF(J33="Huevo caja x 30",H33/30,IF(J33="Libra",H33/500,IF(J33="Litro",H33/1000,IF(J33="Galón",H33/3800,IF(J33="Onza",H33/30,IF(J33="Fco. 500 ml",H33/500,IF(J33="Fco. 200 ml",H33/200,IF(J33="Unidad",E33*$M$5," ")))))))))</f>
        <v xml:space="preserve"> </v>
      </c>
      <c r="J33" s="310"/>
      <c r="K33" s="311"/>
      <c r="L33" s="137">
        <f>+'R. E. C  5'!L19</f>
        <v>0</v>
      </c>
      <c r="M33" s="138">
        <f>+'R. E. C  5'!M19</f>
        <v>0</v>
      </c>
    </row>
    <row r="34" spans="1:13" ht="15" customHeight="1">
      <c r="A34" s="162">
        <v>6</v>
      </c>
      <c r="B34" s="309">
        <f>+'R. E. C  6'!F3</f>
        <v>0</v>
      </c>
      <c r="C34" s="310"/>
      <c r="D34" s="310"/>
      <c r="E34" s="310"/>
      <c r="F34" s="310"/>
      <c r="G34" s="310"/>
      <c r="H34" s="310" t="e">
        <f>+#REF!+(#REF!*G34)</f>
        <v>#REF!</v>
      </c>
      <c r="I34" s="310" t="str">
        <f t="shared" ref="I34:I35" si="4">+IF(J34="Kilo",H34/1000,IF(J34="Huevo caja x 30",H34/30,IF(J34="Libra",H34/500,IF(J34="Litro",H34/1000,IF(J34="Galón",H34/3800,IF(J34="Onza",H34/30,IF(J34="Fco. 500 ml",H34/500,IF(J34="Fco. 200 ml",H34/200,IF(J34="Unidad",E34*$M$5," ")))))))))</f>
        <v xml:space="preserve"> </v>
      </c>
      <c r="J34" s="310"/>
      <c r="K34" s="311"/>
      <c r="L34" s="137">
        <f>+'R. E. C  6'!L19</f>
        <v>0</v>
      </c>
      <c r="M34" s="138">
        <f>+'R. E. C  6'!M19</f>
        <v>0</v>
      </c>
    </row>
    <row r="35" spans="1:13" ht="15" customHeight="1">
      <c r="A35" s="162">
        <v>7</v>
      </c>
      <c r="B35" s="309">
        <f>+'R. E. C  7'!F3</f>
        <v>0</v>
      </c>
      <c r="C35" s="310"/>
      <c r="D35" s="310"/>
      <c r="E35" s="310"/>
      <c r="F35" s="310"/>
      <c r="G35" s="310"/>
      <c r="H35" s="310" t="e">
        <f>+#REF!+(#REF!*G35)</f>
        <v>#REF!</v>
      </c>
      <c r="I35" s="310" t="str">
        <f t="shared" si="4"/>
        <v xml:space="preserve"> </v>
      </c>
      <c r="J35" s="310"/>
      <c r="K35" s="311"/>
      <c r="L35" s="137">
        <f>+'R. E. C  7'!L19</f>
        <v>0</v>
      </c>
      <c r="M35" s="138">
        <f>+'R. E. C  7'!M19</f>
        <v>0</v>
      </c>
    </row>
    <row r="36" spans="1:13" ht="15.75">
      <c r="A36" s="369" t="s">
        <v>174</v>
      </c>
      <c r="B36" s="370"/>
      <c r="C36" s="370"/>
      <c r="D36" s="370"/>
      <c r="E36" s="370"/>
      <c r="F36" s="370"/>
      <c r="G36" s="370"/>
      <c r="H36" s="370"/>
      <c r="I36" s="370"/>
      <c r="J36" s="370"/>
      <c r="K36" s="370"/>
      <c r="L36" s="139">
        <f>SUM(L29:L33)</f>
        <v>0</v>
      </c>
      <c r="M36" s="129">
        <f>SUM(M29:M33)</f>
        <v>0</v>
      </c>
    </row>
    <row r="37" spans="1:13" ht="15.75">
      <c r="A37" s="366" t="s">
        <v>119</v>
      </c>
      <c r="B37" s="367"/>
      <c r="C37" s="367"/>
      <c r="D37" s="367"/>
      <c r="E37" s="367"/>
      <c r="F37" s="367"/>
      <c r="G37" s="367"/>
      <c r="H37" s="367"/>
      <c r="I37" s="367"/>
      <c r="J37" s="367"/>
      <c r="K37" s="367"/>
      <c r="L37" s="367"/>
      <c r="M37" s="368"/>
    </row>
    <row r="38" spans="1:13">
      <c r="A38" s="326"/>
      <c r="B38" s="327"/>
      <c r="C38" s="327"/>
      <c r="D38" s="327"/>
      <c r="E38" s="327"/>
      <c r="F38" s="327"/>
      <c r="G38" s="327"/>
      <c r="H38" s="327"/>
      <c r="I38" s="327"/>
      <c r="J38" s="327"/>
      <c r="K38" s="327"/>
      <c r="L38" s="327"/>
      <c r="M38" s="328"/>
    </row>
    <row r="39" spans="1:13" ht="45" customHeight="1">
      <c r="A39" s="329"/>
      <c r="B39" s="330"/>
      <c r="C39" s="330"/>
      <c r="D39" s="330"/>
      <c r="E39" s="330"/>
      <c r="F39" s="330"/>
      <c r="G39" s="330"/>
      <c r="H39" s="330"/>
      <c r="I39" s="330"/>
      <c r="J39" s="330"/>
      <c r="K39" s="330"/>
      <c r="L39" s="330"/>
      <c r="M39" s="331"/>
    </row>
    <row r="40" spans="1:13">
      <c r="A40" s="314" t="s">
        <v>120</v>
      </c>
      <c r="B40" s="315"/>
      <c r="C40" s="315"/>
      <c r="D40" s="315"/>
      <c r="E40" s="315"/>
      <c r="F40" s="315"/>
      <c r="G40" s="316"/>
      <c r="H40" s="320" t="s">
        <v>121</v>
      </c>
      <c r="I40" s="321"/>
      <c r="J40" s="321"/>
      <c r="K40" s="321"/>
      <c r="L40" s="321"/>
      <c r="M40" s="322"/>
    </row>
    <row r="41" spans="1:13" ht="40.5" customHeight="1">
      <c r="A41" s="317"/>
      <c r="B41" s="318"/>
      <c r="C41" s="318"/>
      <c r="D41" s="318"/>
      <c r="E41" s="318"/>
      <c r="F41" s="318"/>
      <c r="G41" s="319"/>
      <c r="H41" s="323"/>
      <c r="I41" s="318"/>
      <c r="J41" s="318"/>
      <c r="K41" s="318"/>
      <c r="L41" s="318"/>
      <c r="M41" s="324"/>
    </row>
    <row r="42" spans="1:13">
      <c r="A42" s="314" t="s">
        <v>122</v>
      </c>
      <c r="B42" s="315"/>
      <c r="C42" s="315"/>
      <c r="D42" s="315"/>
      <c r="E42" s="315"/>
      <c r="F42" s="315"/>
      <c r="G42" s="316"/>
      <c r="H42" s="320"/>
      <c r="I42" s="321" t="s">
        <v>123</v>
      </c>
      <c r="J42" s="321"/>
      <c r="K42" s="321"/>
      <c r="L42" s="321"/>
      <c r="M42" s="322"/>
    </row>
    <row r="43" spans="1:13" ht="36.75" customHeight="1">
      <c r="A43" s="317"/>
      <c r="B43" s="318"/>
      <c r="C43" s="318"/>
      <c r="D43" s="318"/>
      <c r="E43" s="318"/>
      <c r="F43" s="318"/>
      <c r="G43" s="319"/>
      <c r="H43" s="323"/>
      <c r="I43" s="318"/>
      <c r="J43" s="318"/>
      <c r="K43" s="318"/>
      <c r="L43" s="318"/>
      <c r="M43" s="324"/>
    </row>
    <row r="44" spans="1:13" ht="19.5" customHeight="1">
      <c r="A44" s="314" t="s">
        <v>124</v>
      </c>
      <c r="B44" s="315"/>
      <c r="C44" s="315"/>
      <c r="D44" s="315"/>
      <c r="E44" s="315"/>
      <c r="F44" s="315"/>
      <c r="G44" s="315"/>
      <c r="H44" s="315"/>
      <c r="I44" s="315"/>
      <c r="J44" s="315"/>
      <c r="K44" s="315"/>
      <c r="L44" s="315"/>
      <c r="M44" s="325"/>
    </row>
    <row r="45" spans="1:13">
      <c r="A45" s="326"/>
      <c r="B45" s="327"/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8"/>
    </row>
    <row r="46" spans="1:13" ht="27" customHeight="1">
      <c r="A46" s="329"/>
      <c r="B46" s="330"/>
      <c r="C46" s="330"/>
      <c r="D46" s="330"/>
      <c r="E46" s="330"/>
      <c r="F46" s="330"/>
      <c r="G46" s="330"/>
      <c r="H46" s="330"/>
      <c r="I46" s="330"/>
      <c r="J46" s="330"/>
      <c r="K46" s="330"/>
      <c r="L46" s="330"/>
      <c r="M46" s="331"/>
    </row>
    <row r="47" spans="1:13" ht="15.75">
      <c r="A47" s="332" t="s">
        <v>125</v>
      </c>
      <c r="B47" s="333"/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4"/>
    </row>
    <row r="48" spans="1:13">
      <c r="A48" s="312" t="s">
        <v>126</v>
      </c>
      <c r="B48" s="313"/>
      <c r="C48" s="313"/>
      <c r="D48" s="313"/>
      <c r="E48" s="313"/>
      <c r="F48" s="313"/>
      <c r="G48" s="313"/>
      <c r="H48" s="313"/>
      <c r="I48" s="313"/>
      <c r="J48" s="313"/>
      <c r="K48" s="313"/>
      <c r="L48" s="313"/>
      <c r="M48" s="130">
        <f>+M27+M36</f>
        <v>145089.77443609023</v>
      </c>
    </row>
    <row r="49" spans="1:13">
      <c r="A49" s="346" t="s">
        <v>155</v>
      </c>
      <c r="B49" s="347"/>
      <c r="C49" s="347"/>
      <c r="D49" s="347"/>
      <c r="E49" s="347"/>
      <c r="F49" s="347"/>
      <c r="G49" s="347"/>
      <c r="H49" s="347"/>
      <c r="I49" s="347"/>
      <c r="J49" s="347"/>
      <c r="K49" s="347"/>
      <c r="L49" s="132">
        <f>AVERAGE(G7:G25)</f>
        <v>0.91249999999999998</v>
      </c>
      <c r="M49" s="131">
        <f>+M48*L49</f>
        <v>132394.41917293234</v>
      </c>
    </row>
    <row r="50" spans="1:13">
      <c r="A50" s="348" t="s">
        <v>150</v>
      </c>
      <c r="B50" s="349"/>
      <c r="C50" s="349"/>
      <c r="D50" s="349"/>
      <c r="E50" s="349"/>
      <c r="F50" s="349"/>
      <c r="G50" s="349"/>
      <c r="H50" s="349"/>
      <c r="I50" s="349"/>
      <c r="J50" s="349"/>
      <c r="K50" s="349"/>
      <c r="L50" s="349"/>
      <c r="M50" s="182">
        <f>+M48</f>
        <v>145089.77443609023</v>
      </c>
    </row>
    <row r="51" spans="1:13">
      <c r="A51" s="354" t="s">
        <v>142</v>
      </c>
      <c r="B51" s="355"/>
      <c r="C51" s="355"/>
      <c r="D51" s="355"/>
      <c r="E51" s="355"/>
      <c r="F51" s="355"/>
      <c r="G51" s="355"/>
      <c r="H51" s="356"/>
      <c r="I51" s="350" t="s">
        <v>145</v>
      </c>
      <c r="J51" s="350"/>
      <c r="K51" s="350"/>
      <c r="L51" s="183">
        <f>+Resumen!G7</f>
        <v>600076.35186000005</v>
      </c>
      <c r="M51" s="133">
        <f>+L51*M4</f>
        <v>6000763.5186000001</v>
      </c>
    </row>
    <row r="52" spans="1:13">
      <c r="A52" s="120" t="s">
        <v>143</v>
      </c>
      <c r="B52" s="121"/>
      <c r="C52" s="121"/>
      <c r="D52" s="121"/>
      <c r="E52" s="121"/>
      <c r="F52" s="121"/>
      <c r="G52" s="121"/>
      <c r="H52" s="121"/>
      <c r="I52" s="350" t="s">
        <v>146</v>
      </c>
      <c r="J52" s="350"/>
      <c r="K52" s="350"/>
      <c r="L52" s="184">
        <f>+Resumen!G9</f>
        <v>372700</v>
      </c>
      <c r="M52" s="133">
        <f>M4*L52</f>
        <v>3727000</v>
      </c>
    </row>
    <row r="53" spans="1:13">
      <c r="A53" s="351" t="s">
        <v>144</v>
      </c>
      <c r="B53" s="352"/>
      <c r="C53" s="352"/>
      <c r="D53" s="352"/>
      <c r="E53" s="352"/>
      <c r="F53" s="352"/>
      <c r="G53" s="352"/>
      <c r="H53" s="352"/>
      <c r="I53" s="352"/>
      <c r="J53" s="352"/>
      <c r="K53" s="352"/>
      <c r="L53" s="353"/>
      <c r="M53" s="134">
        <f>+SUM(M50:M52)</f>
        <v>9872853.2930360902</v>
      </c>
    </row>
    <row r="54" spans="1:13">
      <c r="A54" s="357" t="s">
        <v>151</v>
      </c>
      <c r="B54" s="358"/>
      <c r="C54" s="358"/>
      <c r="D54" s="358"/>
      <c r="E54" s="358"/>
      <c r="F54" s="358"/>
      <c r="G54" s="358"/>
      <c r="H54" s="358"/>
      <c r="I54" s="358"/>
      <c r="J54" s="358"/>
      <c r="K54" s="358"/>
      <c r="L54" s="359"/>
      <c r="M54" s="135">
        <f>+M53/M4</f>
        <v>987285.32930360897</v>
      </c>
    </row>
    <row r="55" spans="1:13" ht="15.75">
      <c r="A55" s="335" t="s">
        <v>147</v>
      </c>
      <c r="B55" s="336"/>
      <c r="C55" s="336"/>
      <c r="D55" s="336"/>
      <c r="E55" s="336"/>
      <c r="F55" s="336"/>
      <c r="G55" s="336"/>
      <c r="H55" s="336"/>
      <c r="I55" s="336"/>
      <c r="J55" s="336"/>
      <c r="K55" s="336"/>
      <c r="L55" s="337"/>
      <c r="M55" s="122">
        <v>0.6</v>
      </c>
    </row>
    <row r="56" spans="1:13">
      <c r="A56" s="338" t="s">
        <v>128</v>
      </c>
      <c r="B56" s="339"/>
      <c r="C56" s="339"/>
      <c r="D56" s="339"/>
      <c r="E56" s="339"/>
      <c r="F56" s="339"/>
      <c r="G56" s="339"/>
      <c r="H56" s="339"/>
      <c r="I56" s="339"/>
      <c r="J56" s="339"/>
      <c r="K56" s="339"/>
      <c r="L56" s="339"/>
      <c r="M56" s="179">
        <f>M54/(1-M55)</f>
        <v>2468213.3232590221</v>
      </c>
    </row>
    <row r="57" spans="1:13">
      <c r="A57" s="340" t="s">
        <v>161</v>
      </c>
      <c r="B57" s="341"/>
      <c r="C57" s="341"/>
      <c r="D57" s="341"/>
      <c r="E57" s="341"/>
      <c r="F57" s="341"/>
      <c r="G57" s="341"/>
      <c r="H57" s="341"/>
      <c r="I57" s="341"/>
      <c r="J57" s="341"/>
      <c r="K57" s="342"/>
      <c r="L57" s="123">
        <v>0.08</v>
      </c>
      <c r="M57" s="177">
        <f>+M56*L57</f>
        <v>197457.06586072178</v>
      </c>
    </row>
    <row r="58" spans="1:13">
      <c r="A58" s="343" t="s">
        <v>164</v>
      </c>
      <c r="B58" s="344"/>
      <c r="C58" s="344"/>
      <c r="D58" s="344"/>
      <c r="E58" s="344"/>
      <c r="F58" s="344"/>
      <c r="G58" s="344"/>
      <c r="H58" s="344"/>
      <c r="I58" s="344"/>
      <c r="J58" s="344"/>
      <c r="K58" s="344"/>
      <c r="L58" s="345"/>
      <c r="M58" s="178">
        <f>(M56+M57)</f>
        <v>2665670.3891197438</v>
      </c>
    </row>
    <row r="59" spans="1:13" ht="15" customHeight="1">
      <c r="A59" s="386" t="s">
        <v>149</v>
      </c>
      <c r="B59" s="387"/>
      <c r="C59" s="387"/>
      <c r="D59" s="388"/>
      <c r="E59" s="389" t="s">
        <v>132</v>
      </c>
      <c r="F59" s="390"/>
      <c r="G59" s="390"/>
      <c r="H59" s="390"/>
      <c r="I59" s="390"/>
      <c r="J59" s="390"/>
      <c r="K59" s="390"/>
      <c r="L59" s="390"/>
      <c r="M59" s="391"/>
    </row>
    <row r="60" spans="1:13" ht="21" customHeight="1">
      <c r="A60" s="392"/>
      <c r="B60" s="393"/>
      <c r="C60" s="393"/>
      <c r="D60" s="393"/>
      <c r="E60" s="347" t="s">
        <v>133</v>
      </c>
      <c r="F60" s="347"/>
      <c r="G60" s="347"/>
      <c r="H60" s="347"/>
      <c r="I60" s="347"/>
      <c r="J60" s="347"/>
      <c r="K60" s="347"/>
      <c r="L60" s="347"/>
      <c r="M60" s="136">
        <f>ROUND(M58,-3)</f>
        <v>2666000</v>
      </c>
    </row>
    <row r="61" spans="1:13" ht="35.25" customHeight="1">
      <c r="A61" s="392"/>
      <c r="B61" s="393"/>
      <c r="C61" s="393"/>
      <c r="D61" s="393"/>
      <c r="E61" s="347" t="s">
        <v>134</v>
      </c>
      <c r="F61" s="347"/>
      <c r="G61" s="347"/>
      <c r="H61" s="347"/>
      <c r="I61" s="347"/>
      <c r="J61" s="347"/>
      <c r="K61" s="347"/>
      <c r="L61" s="347"/>
      <c r="M61" s="136">
        <f>ROUND(M56,-3)</f>
        <v>2468000</v>
      </c>
    </row>
    <row r="62" spans="1:13" ht="36" customHeight="1">
      <c r="A62" s="392"/>
      <c r="B62" s="393"/>
      <c r="C62" s="393"/>
      <c r="D62" s="393"/>
      <c r="E62" s="347" t="s">
        <v>162</v>
      </c>
      <c r="F62" s="347"/>
      <c r="G62" s="347"/>
      <c r="H62" s="347"/>
      <c r="I62" s="347"/>
      <c r="J62" s="347"/>
      <c r="K62" s="347"/>
      <c r="L62" s="124">
        <v>0.08</v>
      </c>
      <c r="M62" s="136">
        <f>ROUND(M61*L62,-3)</f>
        <v>197000</v>
      </c>
    </row>
    <row r="63" spans="1:13" ht="35.25" customHeight="1">
      <c r="A63" s="392"/>
      <c r="B63" s="393"/>
      <c r="C63" s="393"/>
      <c r="D63" s="393"/>
      <c r="E63" s="398" t="s">
        <v>136</v>
      </c>
      <c r="F63" s="398"/>
      <c r="G63" s="398"/>
      <c r="H63" s="398"/>
      <c r="I63" s="398"/>
      <c r="J63" s="398"/>
      <c r="K63" s="398"/>
      <c r="L63" s="398"/>
      <c r="M63" s="399"/>
    </row>
    <row r="64" spans="1:13" ht="15.75" thickBot="1">
      <c r="A64" s="394"/>
      <c r="B64" s="395"/>
      <c r="C64" s="395"/>
      <c r="D64" s="395"/>
      <c r="E64" s="400" t="s">
        <v>171</v>
      </c>
      <c r="F64" s="400"/>
      <c r="G64" s="400"/>
      <c r="H64" s="400"/>
      <c r="I64" s="400"/>
      <c r="J64" s="400"/>
      <c r="K64" s="400"/>
      <c r="L64" s="400"/>
      <c r="M64" s="180">
        <f>+SUM(E7:E26,E29:E33)</f>
        <v>218</v>
      </c>
    </row>
    <row r="65" spans="1:13" ht="19.5" customHeight="1" thickBot="1">
      <c r="A65" s="396"/>
      <c r="B65" s="397"/>
      <c r="C65" s="397"/>
      <c r="D65" s="397"/>
      <c r="E65" s="400" t="s">
        <v>137</v>
      </c>
      <c r="F65" s="400"/>
      <c r="G65" s="400"/>
      <c r="H65" s="400"/>
      <c r="I65" s="400"/>
      <c r="J65" s="400"/>
      <c r="K65" s="400"/>
      <c r="L65" s="400"/>
      <c r="M65" s="181">
        <f>+M50/M53</f>
        <v>1.4695830083733815E-2</v>
      </c>
    </row>
  </sheetData>
  <sheetProtection sheet="1" objects="1" scenarios="1"/>
  <mergeCells count="73">
    <mergeCell ref="A59:D59"/>
    <mergeCell ref="E59:M59"/>
    <mergeCell ref="A60:D65"/>
    <mergeCell ref="E60:L60"/>
    <mergeCell ref="E62:K62"/>
    <mergeCell ref="E63:M63"/>
    <mergeCell ref="E64:L64"/>
    <mergeCell ref="E61:L61"/>
    <mergeCell ref="E65:L65"/>
    <mergeCell ref="A1:M1"/>
    <mergeCell ref="A2:M2"/>
    <mergeCell ref="A3:E3"/>
    <mergeCell ref="F3:J3"/>
    <mergeCell ref="K3:L3"/>
    <mergeCell ref="B4:D4"/>
    <mergeCell ref="J4:K4"/>
    <mergeCell ref="B22:D22"/>
    <mergeCell ref="B6:D6"/>
    <mergeCell ref="B7:D7"/>
    <mergeCell ref="B8:D8"/>
    <mergeCell ref="B9:D9"/>
    <mergeCell ref="B10:D10"/>
    <mergeCell ref="B11:D11"/>
    <mergeCell ref="B12:D12"/>
    <mergeCell ref="B21:D21"/>
    <mergeCell ref="A5:M5"/>
    <mergeCell ref="B13:D13"/>
    <mergeCell ref="B14:D14"/>
    <mergeCell ref="B15:D15"/>
    <mergeCell ref="B16:D16"/>
    <mergeCell ref="A38:M39"/>
    <mergeCell ref="B23:D23"/>
    <mergeCell ref="B24:D24"/>
    <mergeCell ref="B25:D25"/>
    <mergeCell ref="B26:D26"/>
    <mergeCell ref="A27:K27"/>
    <mergeCell ref="A28:M28"/>
    <mergeCell ref="A37:M37"/>
    <mergeCell ref="B29:K29"/>
    <mergeCell ref="B30:K30"/>
    <mergeCell ref="B33:K33"/>
    <mergeCell ref="A36:K36"/>
    <mergeCell ref="B31:K31"/>
    <mergeCell ref="B32:K32"/>
    <mergeCell ref="B35:K35"/>
    <mergeCell ref="A55:L55"/>
    <mergeCell ref="A56:L56"/>
    <mergeCell ref="A57:K57"/>
    <mergeCell ref="A58:L58"/>
    <mergeCell ref="A49:K49"/>
    <mergeCell ref="A50:L50"/>
    <mergeCell ref="I51:K51"/>
    <mergeCell ref="I52:K52"/>
    <mergeCell ref="A53:L53"/>
    <mergeCell ref="A51:H51"/>
    <mergeCell ref="A54:L54"/>
    <mergeCell ref="A48:L48"/>
    <mergeCell ref="A40:G40"/>
    <mergeCell ref="A41:G41"/>
    <mergeCell ref="H40:M40"/>
    <mergeCell ref="H41:M41"/>
    <mergeCell ref="A42:G42"/>
    <mergeCell ref="A43:G43"/>
    <mergeCell ref="H43:M43"/>
    <mergeCell ref="H42:M42"/>
    <mergeCell ref="A44:M44"/>
    <mergeCell ref="A45:M46"/>
    <mergeCell ref="A47:M47"/>
    <mergeCell ref="B17:D17"/>
    <mergeCell ref="B18:D18"/>
    <mergeCell ref="B19:D19"/>
    <mergeCell ref="B20:D20"/>
    <mergeCell ref="B34:K34"/>
  </mergeCells>
  <dataValidations count="4">
    <dataValidation type="list" allowBlank="1" showInputMessage="1" showErrorMessage="1" sqref="F7:F25 F30:F35" xr:uid="{00000000-0002-0000-0100-000000000000}">
      <formula1>"Grs, ml, cc, Oz, Lb, Kl, Unidad, Cant. suficiente"</formula1>
    </dataValidation>
    <dataValidation type="list" allowBlank="1" showInputMessage="1" showErrorMessage="1" sqref="J30:J35" xr:uid="{00000000-0002-0000-0100-000001000000}">
      <formula1>"Libra, Galón, Kilo, Huevo Canasta x 30, Arroba, Litro, Onza, Fco. 500 ml, Fco. 200 ml, Unidad, Fco. 500 cc"</formula1>
    </dataValidation>
    <dataValidation type="list" allowBlank="1" showInputMessage="1" showErrorMessage="1" sqref="J8:J26" xr:uid="{00000000-0002-0000-0100-000002000000}">
      <formula1>"Libra, Galón, Kilo, Arroba, Litro, Onza,Fco. 125 ml, Fco. 400 Grs, Fco. 200 Grs, Fco. 750 Ml, Fco. 500 ml, Fco. 200 ml, Unidad, Fco. 500 cc"</formula1>
    </dataValidation>
    <dataValidation type="list" allowBlank="1" showInputMessage="1" showErrorMessage="1" sqref="J7" xr:uid="{00000000-0002-0000-0100-000003000000}">
      <formula1>"Libra, Saco X 50 Kg, Galón, Kilo, Arroba, Caja x 30,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S19"/>
  <sheetViews>
    <sheetView topLeftCell="A7" zoomScale="90" zoomScaleNormal="90" workbookViewId="0">
      <selection activeCell="P17" sqref="P17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5" width="10.42578125" style="42" customWidth="1"/>
    <col min="6" max="7" width="9" style="42" customWidth="1"/>
    <col min="8" max="8" width="14.7109375" style="42" bestFit="1" customWidth="1"/>
    <col min="9" max="9" width="16" style="42" bestFit="1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>
      <c r="A1" s="205" t="s">
        <v>189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7"/>
    </row>
    <row r="2" spans="1:19">
      <c r="A2" s="405" t="s">
        <v>172</v>
      </c>
      <c r="B2" s="405"/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</row>
    <row r="3" spans="1:19" ht="25.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 thickBot="1">
      <c r="A4" s="110" t="s">
        <v>95</v>
      </c>
      <c r="B4" s="371"/>
      <c r="C4" s="371"/>
      <c r="D4" s="371"/>
      <c r="E4" s="106" t="s">
        <v>92</v>
      </c>
      <c r="F4" s="160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01" t="s">
        <v>98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204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200">
        <f>IFERROR(IF(G7&lt;=100%, E7/G7, E7*G7), 0) * $M$4</f>
        <v>0</v>
      </c>
      <c r="I7" s="161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200">
        <f t="shared" ref="H8:H18" si="0">IFERROR(IF(G8&lt;=100%, E8/G8, E8*G8), 0) * $M$4</f>
        <v>0</v>
      </c>
      <c r="I8" s="161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200">
        <f t="shared" si="0"/>
        <v>0</v>
      </c>
      <c r="I9" s="161" t="str">
        <f t="shared" si="1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200">
        <f t="shared" si="0"/>
        <v>0</v>
      </c>
      <c r="I10" s="161" t="str">
        <f t="shared" si="1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200">
        <f t="shared" si="0"/>
        <v>0</v>
      </c>
      <c r="I11" s="161" t="str">
        <f t="shared" si="1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200">
        <f t="shared" si="0"/>
        <v>0</v>
      </c>
      <c r="I12" s="161" t="str">
        <f t="shared" si="1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200">
        <f t="shared" si="0"/>
        <v>0</v>
      </c>
      <c r="I13" s="161" t="str">
        <f t="shared" si="1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200">
        <f t="shared" si="0"/>
        <v>0</v>
      </c>
      <c r="I14" s="161" t="str">
        <f t="shared" si="1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200">
        <f t="shared" si="0"/>
        <v>0</v>
      </c>
      <c r="I15" s="161" t="str">
        <f t="shared" si="1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200">
        <f t="shared" si="0"/>
        <v>0</v>
      </c>
      <c r="I16" s="161" t="str">
        <f t="shared" si="1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200">
        <f t="shared" si="0"/>
        <v>0</v>
      </c>
      <c r="I17" s="161" t="str">
        <f t="shared" si="1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200">
        <f t="shared" si="0"/>
        <v>0</v>
      </c>
      <c r="I18" s="161" t="str">
        <f t="shared" si="1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4:D4"/>
    <mergeCell ref="J4:K4"/>
    <mergeCell ref="A1:M1"/>
    <mergeCell ref="A2:M2"/>
    <mergeCell ref="A3:E3"/>
    <mergeCell ref="F3:J3"/>
    <mergeCell ref="K3:L3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200-000000000000}">
      <formula1>"Grs, ml, cc, Oz, Lb, Kl, Unidad, Cant. suficiente"</formula1>
    </dataValidation>
    <dataValidation type="list" allowBlank="1" showInputMessage="1" showErrorMessage="1" sqref="J7:J18" xr:uid="{00000000-0002-0000-0200-000001000000}">
      <formula1>"Libra, Galón, Kilo, Arroba, Litro, Onza,Fco. 125 ml, Fco. 400 Grs, Fco. 200 Grs, Fco. 750 Ml, Fco. 500 ml, Fco. 200 ml, Unidad, Fco. 500 cc"</formula1>
    </dataValidation>
  </dataValidations>
  <pageMargins left="1.17" right="0.52" top="1" bottom="0.87" header="0.31496062992125984" footer="0.31496062992125984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  <pageSetUpPr fitToPage="1"/>
  </sheetPr>
  <dimension ref="A1:S19"/>
  <sheetViews>
    <sheetView topLeftCell="A5" zoomScaleNormal="100" workbookViewId="0">
      <selection activeCell="H7" sqref="H7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2.710937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>
      <c r="A1" s="205" t="s">
        <v>189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7"/>
    </row>
    <row r="2" spans="1:19" ht="15.75" thickBot="1">
      <c r="A2" s="208" t="s">
        <v>170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10"/>
    </row>
    <row r="3" spans="1:19" ht="15.7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 thickBo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>
        <v>454</v>
      </c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01" t="s">
        <v>98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204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200">
        <f>IFERROR(IF(G7&lt;=100%, E7/G7, E7*G7), 0) * $M$4</f>
        <v>0</v>
      </c>
      <c r="I7" s="161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200">
        <f t="shared" ref="H8:H18" si="0">IFERROR(IF(G8&lt;=100%, E8/G8, E8*G8), 0) * $M$4</f>
        <v>0</v>
      </c>
      <c r="I8" s="161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200">
        <f t="shared" si="0"/>
        <v>0</v>
      </c>
      <c r="I9" s="161" t="str">
        <f t="shared" si="1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200">
        <f t="shared" si="0"/>
        <v>0</v>
      </c>
      <c r="I10" s="161" t="str">
        <f t="shared" si="1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200">
        <f t="shared" si="0"/>
        <v>0</v>
      </c>
      <c r="I11" s="161" t="str">
        <f t="shared" si="1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200">
        <f t="shared" si="0"/>
        <v>0</v>
      </c>
      <c r="I12" s="161" t="str">
        <f t="shared" si="1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200">
        <f t="shared" si="0"/>
        <v>0</v>
      </c>
      <c r="I13" s="161" t="str">
        <f t="shared" si="1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200">
        <f t="shared" si="0"/>
        <v>0</v>
      </c>
      <c r="I14" s="161" t="str">
        <f t="shared" si="1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200">
        <f t="shared" si="0"/>
        <v>0</v>
      </c>
      <c r="I15" s="161" t="str">
        <f t="shared" si="1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200">
        <f t="shared" si="0"/>
        <v>0</v>
      </c>
      <c r="I16" s="161" t="str">
        <f t="shared" si="1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200">
        <f t="shared" si="0"/>
        <v>0</v>
      </c>
      <c r="I17" s="161" t="str">
        <f t="shared" si="1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200">
        <f t="shared" si="0"/>
        <v>0</v>
      </c>
      <c r="I18" s="161" t="str">
        <f t="shared" si="1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300-000000000000}">
      <formula1>"Grs, ml, cc, Oz, Lb, Kl, Unidad, Cant. suficiente"</formula1>
    </dataValidation>
    <dataValidation type="list" allowBlank="1" showInputMessage="1" showErrorMessage="1" sqref="J7:J18" xr:uid="{00000000-0002-0000-0300-000001000000}">
      <formula1>"Libra, Galón, Kilo, Arroba,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  <pageSetUpPr fitToPage="1"/>
  </sheetPr>
  <dimension ref="A1:S19"/>
  <sheetViews>
    <sheetView topLeftCell="A3" zoomScaleNormal="100" workbookViewId="0">
      <selection activeCell="H13" sqref="H13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2.8554687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>
      <c r="A1" s="205" t="s">
        <v>189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7"/>
    </row>
    <row r="2" spans="1:19" ht="15.75" thickBot="1">
      <c r="A2" s="208" t="s">
        <v>170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10"/>
    </row>
    <row r="3" spans="1:19" ht="15.7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 thickBo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01" t="s">
        <v>98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204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200">
        <f>IFERROR(IF(G7&lt;=100%, E7/G7, E7*G7), 0) * $M$4</f>
        <v>0</v>
      </c>
      <c r="I7" s="161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200">
        <f t="shared" ref="H8:H18" si="0">IFERROR(IF(G8&lt;=100%, E8/G8, E8*G8), 0) * $M$4</f>
        <v>0</v>
      </c>
      <c r="I8" s="161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200">
        <f t="shared" si="0"/>
        <v>0</v>
      </c>
      <c r="I9" s="161" t="str">
        <f t="shared" si="1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200">
        <f t="shared" si="0"/>
        <v>0</v>
      </c>
      <c r="I10" s="161" t="str">
        <f t="shared" si="1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200">
        <f t="shared" si="0"/>
        <v>0</v>
      </c>
      <c r="I11" s="161" t="str">
        <f t="shared" si="1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200">
        <f t="shared" si="0"/>
        <v>0</v>
      </c>
      <c r="I12" s="161" t="str">
        <f t="shared" si="1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200">
        <f t="shared" si="0"/>
        <v>0</v>
      </c>
      <c r="I13" s="161" t="str">
        <f t="shared" si="1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200">
        <f t="shared" si="0"/>
        <v>0</v>
      </c>
      <c r="I14" s="161" t="str">
        <f t="shared" si="1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200">
        <f t="shared" si="0"/>
        <v>0</v>
      </c>
      <c r="I15" s="161" t="str">
        <f t="shared" si="1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200">
        <f t="shared" si="0"/>
        <v>0</v>
      </c>
      <c r="I16" s="161" t="str">
        <f t="shared" si="1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200">
        <f t="shared" si="0"/>
        <v>0</v>
      </c>
      <c r="I17" s="161" t="str">
        <f t="shared" si="1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200">
        <f t="shared" si="0"/>
        <v>0</v>
      </c>
      <c r="I18" s="161" t="str">
        <f t="shared" si="1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400-000000000000}">
      <formula1>"Grs, ml, cc, Oz, Lb, Kl, Unidad, Cant. suficiente"</formula1>
    </dataValidation>
    <dataValidation type="list" allowBlank="1" showInputMessage="1" showErrorMessage="1" sqref="J7:J18" xr:uid="{00000000-0002-0000-04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  <pageSetUpPr fitToPage="1"/>
  </sheetPr>
  <dimension ref="A1:S19"/>
  <sheetViews>
    <sheetView topLeftCell="A5" zoomScaleNormal="100" workbookViewId="0">
      <selection activeCell="H14" sqref="H14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2.57031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>
      <c r="A1" s="413" t="s">
        <v>189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</row>
    <row r="2" spans="1:19">
      <c r="A2" s="414" t="s">
        <v>170</v>
      </c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</row>
    <row r="3" spans="1:19" ht="1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10" t="s">
        <v>98</v>
      </c>
      <c r="B5" s="411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2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204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200">
        <f>IFERROR(IF(G7&lt;=100%, E7/G7, E7*G7), 0) * $M$4</f>
        <v>0</v>
      </c>
      <c r="I7" s="161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200">
        <f t="shared" ref="H8:H18" si="0">IFERROR(IF(G8&lt;=100%, E8/G8, E8*G8), 0) * $M$4</f>
        <v>0</v>
      </c>
      <c r="I8" s="161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200">
        <f t="shared" si="0"/>
        <v>0</v>
      </c>
      <c r="I9" s="161" t="str">
        <f t="shared" si="1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200">
        <f t="shared" si="0"/>
        <v>0</v>
      </c>
      <c r="I10" s="161" t="str">
        <f t="shared" si="1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200">
        <f t="shared" si="0"/>
        <v>0</v>
      </c>
      <c r="I11" s="161" t="str">
        <f t="shared" si="1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200">
        <f t="shared" si="0"/>
        <v>0</v>
      </c>
      <c r="I12" s="161" t="str">
        <f t="shared" si="1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200">
        <f t="shared" si="0"/>
        <v>0</v>
      </c>
      <c r="I13" s="161" t="str">
        <f t="shared" si="1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200">
        <f t="shared" si="0"/>
        <v>0</v>
      </c>
      <c r="I14" s="161" t="str">
        <f t="shared" si="1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200">
        <f t="shared" si="0"/>
        <v>0</v>
      </c>
      <c r="I15" s="161" t="str">
        <f t="shared" si="1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200">
        <f t="shared" si="0"/>
        <v>0</v>
      </c>
      <c r="I16" s="161" t="str">
        <f t="shared" si="1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200">
        <f t="shared" si="0"/>
        <v>0</v>
      </c>
      <c r="I17" s="161" t="str">
        <f t="shared" si="1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200">
        <f t="shared" si="0"/>
        <v>0</v>
      </c>
      <c r="I18" s="161" t="str">
        <f t="shared" si="1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500-000000000000}">
      <formula1>"Grs, ml, cc, Oz, Lb, Kl, Unidad, Cant. suficiente"</formula1>
    </dataValidation>
    <dataValidation type="list" allowBlank="1" showInputMessage="1" showErrorMessage="1" sqref="J7:J18" xr:uid="{00000000-0002-0000-05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  <pageSetUpPr fitToPage="1"/>
  </sheetPr>
  <dimension ref="A1:S19"/>
  <sheetViews>
    <sheetView topLeftCell="A2" zoomScaleNormal="100" workbookViewId="0">
      <selection activeCell="F3" sqref="F3:J3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>
      <c r="A1" s="413" t="s">
        <v>189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</row>
    <row r="2" spans="1:19">
      <c r="A2" s="414" t="s">
        <v>170</v>
      </c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</row>
    <row r="3" spans="1:19" ht="1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10" t="s">
        <v>98</v>
      </c>
      <c r="B5" s="411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2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156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600-000000000000}">
      <formula1>"Grs, ml, cc, Oz, Lb, Kl, Unidad, Cant. suficiente"</formula1>
    </dataValidation>
    <dataValidation type="list" allowBlank="1" showInputMessage="1" showErrorMessage="1" sqref="J7:J18" xr:uid="{00000000-0002-0000-06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  <pageSetUpPr fitToPage="1"/>
  </sheetPr>
  <dimension ref="A1:S19"/>
  <sheetViews>
    <sheetView zoomScaleNormal="100" workbookViewId="0">
      <selection activeCell="F3" sqref="F3:J3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>
      <c r="A1" s="413" t="s">
        <v>189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</row>
    <row r="2" spans="1:19">
      <c r="A2" s="414" t="s">
        <v>170</v>
      </c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</row>
    <row r="3" spans="1:19" ht="1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10" t="s">
        <v>98</v>
      </c>
      <c r="B5" s="411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2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100</v>
      </c>
      <c r="F6" s="104" t="s">
        <v>101</v>
      </c>
      <c r="G6" s="104" t="s">
        <v>156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700-000000000000}">
      <formula1>"Grs, ml, cc, Oz, Lb, Kl, Unidad, Cant. suficiente"</formula1>
    </dataValidation>
    <dataValidation type="list" allowBlank="1" showInputMessage="1" showErrorMessage="1" sqref="J7:J18" xr:uid="{00000000-0002-0000-07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  <pageSetUpPr fitToPage="1"/>
  </sheetPr>
  <dimension ref="A1:S19"/>
  <sheetViews>
    <sheetView zoomScale="60" zoomScaleNormal="60" workbookViewId="0">
      <selection activeCell="F3" sqref="F3:J3"/>
    </sheetView>
  </sheetViews>
  <sheetFormatPr baseColWidth="10" defaultColWidth="11.42578125" defaultRowHeight="1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2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>
      <c r="A1" s="413" t="s">
        <v>189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</row>
    <row r="2" spans="1:19">
      <c r="A2" s="414" t="s">
        <v>170</v>
      </c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</row>
    <row r="3" spans="1:19" ht="15" customHeight="1">
      <c r="A3" s="406" t="s">
        <v>90</v>
      </c>
      <c r="B3" s="406"/>
      <c r="C3" s="406"/>
      <c r="D3" s="406"/>
      <c r="E3" s="406"/>
      <c r="F3" s="407"/>
      <c r="G3" s="408"/>
      <c r="H3" s="408"/>
      <c r="I3" s="408"/>
      <c r="J3" s="408"/>
      <c r="K3" s="409" t="s">
        <v>173</v>
      </c>
      <c r="L3" s="409"/>
      <c r="M3" s="158" t="s">
        <v>188</v>
      </c>
    </row>
    <row r="4" spans="1:19" ht="25.5" customHeight="1">
      <c r="A4" s="110" t="s">
        <v>95</v>
      </c>
      <c r="B4" s="371"/>
      <c r="C4" s="371"/>
      <c r="D4" s="371"/>
      <c r="E4" s="106" t="s">
        <v>92</v>
      </c>
      <c r="F4" s="159"/>
      <c r="G4" s="107" t="s">
        <v>93</v>
      </c>
      <c r="H4" s="157"/>
      <c r="I4" s="108" t="s">
        <v>96</v>
      </c>
      <c r="J4" s="372"/>
      <c r="K4" s="373"/>
      <c r="L4" s="111" t="s">
        <v>153</v>
      </c>
      <c r="M4" s="109">
        <f>+'Receta Estandar Principal'!M4</f>
        <v>10</v>
      </c>
    </row>
    <row r="5" spans="1:19" ht="15.75" thickBot="1">
      <c r="A5" s="410" t="s">
        <v>98</v>
      </c>
      <c r="B5" s="411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2"/>
    </row>
    <row r="6" spans="1:19" ht="74.25" customHeight="1">
      <c r="A6" s="95" t="s">
        <v>115</v>
      </c>
      <c r="B6" s="404" t="s">
        <v>99</v>
      </c>
      <c r="C6" s="404"/>
      <c r="D6" s="404"/>
      <c r="E6" s="104" t="s">
        <v>196</v>
      </c>
      <c r="F6" s="104" t="s">
        <v>101</v>
      </c>
      <c r="G6" s="104" t="s">
        <v>192</v>
      </c>
      <c r="H6" s="104" t="s">
        <v>193</v>
      </c>
      <c r="I6" s="104" t="s">
        <v>194</v>
      </c>
      <c r="J6" s="104" t="s">
        <v>154</v>
      </c>
      <c r="K6" s="104" t="s">
        <v>195</v>
      </c>
      <c r="L6" s="104" t="s">
        <v>104</v>
      </c>
      <c r="M6" s="96" t="s">
        <v>191</v>
      </c>
      <c r="Q6" s="84"/>
      <c r="S6" s="83"/>
    </row>
    <row r="7" spans="1:19" ht="24.95" customHeight="1">
      <c r="A7" s="112">
        <v>1</v>
      </c>
      <c r="B7" s="308"/>
      <c r="C7" s="308"/>
      <c r="D7" s="308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>
      <c r="A8" s="112">
        <v>2</v>
      </c>
      <c r="B8" s="308"/>
      <c r="C8" s="308"/>
      <c r="D8" s="308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>
      <c r="A9" s="112">
        <v>3</v>
      </c>
      <c r="B9" s="308"/>
      <c r="C9" s="308"/>
      <c r="D9" s="308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>
      <c r="A10" s="112">
        <v>4</v>
      </c>
      <c r="B10" s="308"/>
      <c r="C10" s="308"/>
      <c r="D10" s="308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>
      <c r="A11" s="112">
        <v>5</v>
      </c>
      <c r="B11" s="308"/>
      <c r="C11" s="308"/>
      <c r="D11" s="308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>
      <c r="A12" s="112">
        <v>6</v>
      </c>
      <c r="B12" s="308"/>
      <c r="C12" s="308"/>
      <c r="D12" s="308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>
      <c r="A13" s="112">
        <v>7</v>
      </c>
      <c r="B13" s="308"/>
      <c r="C13" s="308"/>
      <c r="D13" s="308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>
      <c r="A14" s="112">
        <v>8</v>
      </c>
      <c r="B14" s="308"/>
      <c r="C14" s="308"/>
      <c r="D14" s="308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>
      <c r="A15" s="112">
        <v>9</v>
      </c>
      <c r="B15" s="308"/>
      <c r="C15" s="308"/>
      <c r="D15" s="308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>
      <c r="A16" s="112">
        <v>10</v>
      </c>
      <c r="B16" s="308"/>
      <c r="C16" s="308"/>
      <c r="D16" s="308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>
      <c r="A17" s="112">
        <v>11</v>
      </c>
      <c r="B17" s="308"/>
      <c r="C17" s="308"/>
      <c r="D17" s="308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>
      <c r="A18" s="112">
        <v>12</v>
      </c>
      <c r="B18" s="308"/>
      <c r="C18" s="308"/>
      <c r="D18" s="308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>
      <c r="A19" s="360" t="s">
        <v>114</v>
      </c>
      <c r="B19" s="361"/>
      <c r="C19" s="361"/>
      <c r="D19" s="361"/>
      <c r="E19" s="361"/>
      <c r="F19" s="361"/>
      <c r="G19" s="361"/>
      <c r="H19" s="361"/>
      <c r="I19" s="361"/>
      <c r="J19" s="361"/>
      <c r="K19" s="361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800-000000000000}">
      <formula1>"Grs, ml, cc, Oz, Lb, Kl, Unidad, Cant. suficiente"</formula1>
    </dataValidation>
    <dataValidation type="list" allowBlank="1" showInputMessage="1" showErrorMessage="1" sqref="J7:J18" xr:uid="{00000000-0002-0000-08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3"/>
  <sheetViews>
    <sheetView zoomScaleNormal="100" workbookViewId="0">
      <selection activeCell="N7" sqref="N7"/>
    </sheetView>
  </sheetViews>
  <sheetFormatPr baseColWidth="10" defaultColWidth="11.42578125" defaultRowHeight="15"/>
  <cols>
    <col min="1" max="1" width="14.42578125" style="13" customWidth="1"/>
    <col min="2" max="2" width="22.42578125" style="13" customWidth="1"/>
    <col min="3" max="3" width="16.5703125" style="13" bestFit="1" customWidth="1"/>
    <col min="4" max="4" width="13.5703125" style="13" customWidth="1"/>
    <col min="5" max="5" width="9.28515625" style="13" customWidth="1"/>
    <col min="6" max="6" width="11.42578125" style="13"/>
    <col min="7" max="7" width="13.7109375" style="13" customWidth="1"/>
    <col min="8" max="8" width="16.85546875" style="13" customWidth="1"/>
    <col min="9" max="16384" width="11.42578125" style="13"/>
  </cols>
  <sheetData>
    <row r="1" spans="1:11">
      <c r="A1" s="427" t="s">
        <v>3</v>
      </c>
      <c r="B1" s="428"/>
      <c r="C1" s="428"/>
      <c r="D1" s="428"/>
      <c r="E1" s="428"/>
      <c r="F1" s="428"/>
      <c r="G1" s="428"/>
      <c r="H1" s="429"/>
    </row>
    <row r="2" spans="1:11">
      <c r="A2" s="430"/>
      <c r="B2" s="431"/>
      <c r="C2" s="431"/>
      <c r="D2" s="431"/>
      <c r="E2" s="431"/>
      <c r="F2" s="431"/>
      <c r="G2" s="431"/>
      <c r="H2" s="432"/>
    </row>
    <row r="3" spans="1:11" ht="75">
      <c r="A3" s="433" t="s">
        <v>4</v>
      </c>
      <c r="B3" s="435" t="s">
        <v>5</v>
      </c>
      <c r="C3" s="435" t="s">
        <v>6</v>
      </c>
      <c r="D3" s="195" t="s">
        <v>7</v>
      </c>
      <c r="E3" s="196" t="s">
        <v>176</v>
      </c>
      <c r="F3" s="435" t="s">
        <v>8</v>
      </c>
      <c r="G3" s="435" t="s">
        <v>210</v>
      </c>
      <c r="H3" s="435" t="s">
        <v>9</v>
      </c>
    </row>
    <row r="4" spans="1:11" ht="18.75">
      <c r="A4" s="433"/>
      <c r="B4" s="436"/>
      <c r="C4" s="436"/>
      <c r="D4" s="197">
        <f>+C32</f>
        <v>249095</v>
      </c>
      <c r="E4" s="196">
        <f>+C33</f>
        <v>220</v>
      </c>
      <c r="F4" s="436"/>
      <c r="G4" s="436"/>
      <c r="H4" s="436"/>
    </row>
    <row r="5" spans="1:11">
      <c r="A5" s="433"/>
      <c r="B5" s="1" t="s">
        <v>177</v>
      </c>
      <c r="C5" s="37">
        <v>1750905</v>
      </c>
      <c r="D5" s="105">
        <f>+IF(C5&lt;$C$31*2,$D$4/220*E5,0)</f>
        <v>249095</v>
      </c>
      <c r="E5" s="37">
        <f>+$E$4</f>
        <v>220</v>
      </c>
      <c r="F5" s="105">
        <f t="shared" ref="F5:F11" si="0">+C5/$E$4*E5</f>
        <v>1750905</v>
      </c>
      <c r="G5" s="189"/>
      <c r="H5" s="105">
        <f>+D5+F5+G5</f>
        <v>2000000</v>
      </c>
    </row>
    <row r="6" spans="1:11">
      <c r="A6" s="433"/>
      <c r="B6" s="1" t="s">
        <v>178</v>
      </c>
      <c r="C6" s="37">
        <v>1750905</v>
      </c>
      <c r="D6" s="105">
        <f t="shared" ref="D6:D11" si="1">+IF(C6&lt;$C$31*2,$D$4/220*E6,0)</f>
        <v>249095</v>
      </c>
      <c r="E6" s="37">
        <f>+$E$4</f>
        <v>220</v>
      </c>
      <c r="F6" s="105">
        <f t="shared" si="0"/>
        <v>1750905</v>
      </c>
      <c r="G6" s="189"/>
      <c r="H6" s="189">
        <f t="shared" ref="H6:H11" si="2">+D6+F6+G6</f>
        <v>2000000</v>
      </c>
      <c r="K6" s="36"/>
    </row>
    <row r="7" spans="1:11">
      <c r="A7" s="433"/>
      <c r="B7" s="1"/>
      <c r="C7" s="37"/>
      <c r="D7" s="105">
        <f t="shared" si="1"/>
        <v>0</v>
      </c>
      <c r="E7" s="37"/>
      <c r="F7" s="105">
        <f t="shared" si="0"/>
        <v>0</v>
      </c>
      <c r="G7" s="189"/>
      <c r="H7" s="189">
        <f t="shared" si="2"/>
        <v>0</v>
      </c>
    </row>
    <row r="8" spans="1:11">
      <c r="A8" s="433"/>
      <c r="B8" s="1"/>
      <c r="C8" s="37"/>
      <c r="D8" s="105">
        <f t="shared" si="1"/>
        <v>0</v>
      </c>
      <c r="E8" s="37"/>
      <c r="F8" s="105">
        <f t="shared" si="0"/>
        <v>0</v>
      </c>
      <c r="G8" s="189"/>
      <c r="H8" s="189">
        <f t="shared" si="2"/>
        <v>0</v>
      </c>
    </row>
    <row r="9" spans="1:11">
      <c r="A9" s="433"/>
      <c r="B9" s="1"/>
      <c r="C9" s="37"/>
      <c r="D9" s="105">
        <f t="shared" si="1"/>
        <v>0</v>
      </c>
      <c r="E9" s="37"/>
      <c r="F9" s="105">
        <f t="shared" si="0"/>
        <v>0</v>
      </c>
      <c r="G9" s="189"/>
      <c r="H9" s="189">
        <f t="shared" si="2"/>
        <v>0</v>
      </c>
    </row>
    <row r="10" spans="1:11">
      <c r="A10" s="433"/>
      <c r="B10" s="1"/>
      <c r="C10" s="37"/>
      <c r="D10" s="105">
        <f t="shared" si="1"/>
        <v>0</v>
      </c>
      <c r="E10" s="37"/>
      <c r="F10" s="105">
        <f t="shared" si="0"/>
        <v>0</v>
      </c>
      <c r="G10" s="189"/>
      <c r="H10" s="189">
        <f t="shared" si="2"/>
        <v>0</v>
      </c>
    </row>
    <row r="11" spans="1:11">
      <c r="A11" s="433"/>
      <c r="B11" s="1"/>
      <c r="C11" s="37"/>
      <c r="D11" s="105">
        <f t="shared" si="1"/>
        <v>0</v>
      </c>
      <c r="E11" s="37"/>
      <c r="F11" s="105">
        <f t="shared" si="0"/>
        <v>0</v>
      </c>
      <c r="G11" s="189"/>
      <c r="H11" s="189">
        <f t="shared" si="2"/>
        <v>0</v>
      </c>
    </row>
    <row r="12" spans="1:11" ht="18.75">
      <c r="A12" s="433"/>
      <c r="B12" s="10" t="s">
        <v>10</v>
      </c>
      <c r="C12" s="11">
        <f>SUM(C5:C11)</f>
        <v>3501810</v>
      </c>
      <c r="D12" s="11">
        <f>SUM(D5:D11)</f>
        <v>498190</v>
      </c>
      <c r="E12" s="11"/>
      <c r="F12" s="11">
        <f>SUM(F5:F11)</f>
        <v>3501810</v>
      </c>
      <c r="G12" s="11"/>
      <c r="H12" s="3">
        <f>SUM(H5:H11)</f>
        <v>4000000</v>
      </c>
    </row>
    <row r="13" spans="1:11" ht="41.25" customHeight="1">
      <c r="A13" s="441" t="s">
        <v>11</v>
      </c>
      <c r="B13" s="141" t="s">
        <v>12</v>
      </c>
      <c r="C13" s="142" t="s">
        <v>13</v>
      </c>
      <c r="D13" s="434" t="s">
        <v>14</v>
      </c>
      <c r="E13" s="434"/>
      <c r="F13" s="434"/>
      <c r="G13" s="188"/>
      <c r="H13" s="143" t="s">
        <v>15</v>
      </c>
      <c r="J13"/>
    </row>
    <row r="14" spans="1:11">
      <c r="A14" s="442"/>
      <c r="B14" s="1" t="s">
        <v>16</v>
      </c>
      <c r="C14" s="4">
        <v>8.5000000000000006E-2</v>
      </c>
      <c r="D14" s="418">
        <f>$F$12*C14</f>
        <v>297653.85000000003</v>
      </c>
      <c r="E14" s="419"/>
      <c r="F14" s="419"/>
      <c r="G14" s="420"/>
      <c r="H14" s="1"/>
    </row>
    <row r="15" spans="1:11">
      <c r="A15" s="442"/>
      <c r="B15" s="1" t="s">
        <v>175</v>
      </c>
      <c r="C15" s="5">
        <v>2.436E-2</v>
      </c>
      <c r="D15" s="418">
        <f>$F$12*C15</f>
        <v>85304.0916</v>
      </c>
      <c r="E15" s="419"/>
      <c r="F15" s="419"/>
      <c r="G15" s="420"/>
      <c r="H15" s="1"/>
    </row>
    <row r="16" spans="1:11">
      <c r="A16" s="442"/>
      <c r="B16" s="1" t="s">
        <v>17</v>
      </c>
      <c r="C16" s="4">
        <v>0.12</v>
      </c>
      <c r="D16" s="418">
        <f>$F$12*C16</f>
        <v>420217.2</v>
      </c>
      <c r="E16" s="419"/>
      <c r="F16" s="419"/>
      <c r="G16" s="420"/>
      <c r="H16" s="1"/>
    </row>
    <row r="17" spans="1:8">
      <c r="A17" s="442"/>
      <c r="B17" s="1" t="s">
        <v>18</v>
      </c>
      <c r="C17" s="4">
        <v>0.09</v>
      </c>
      <c r="D17" s="418">
        <f>$F$12*C17</f>
        <v>315162.89999999997</v>
      </c>
      <c r="E17" s="419"/>
      <c r="F17" s="419"/>
      <c r="G17" s="420"/>
      <c r="H17" s="1"/>
    </row>
    <row r="18" spans="1:8" ht="18.75">
      <c r="A18" s="442"/>
      <c r="B18" s="6" t="s">
        <v>19</v>
      </c>
      <c r="C18" s="7">
        <f>SUM(C14:C17)</f>
        <v>0.31935999999999998</v>
      </c>
      <c r="D18" s="421">
        <f>SUM(D14:D17)</f>
        <v>1118338.0415999999</v>
      </c>
      <c r="E18" s="422"/>
      <c r="F18" s="422"/>
      <c r="G18" s="423"/>
      <c r="H18" s="201">
        <f>+SUM(D14:F17)</f>
        <v>1118338.0415999999</v>
      </c>
    </row>
    <row r="19" spans="1:8">
      <c r="A19" s="442"/>
      <c r="B19" s="1" t="s">
        <v>20</v>
      </c>
      <c r="C19" s="4">
        <v>8.3299999999999999E-2</v>
      </c>
      <c r="D19" s="418">
        <f>+$H$12*C19</f>
        <v>333200</v>
      </c>
      <c r="E19" s="419"/>
      <c r="F19" s="419"/>
      <c r="G19" s="420"/>
      <c r="H19" s="1"/>
    </row>
    <row r="20" spans="1:8">
      <c r="A20" s="442"/>
      <c r="B20" s="1" t="s">
        <v>21</v>
      </c>
      <c r="C20" s="4">
        <v>8.3299999999999999E-2</v>
      </c>
      <c r="D20" s="418">
        <f>+$H$12*C20</f>
        <v>333200</v>
      </c>
      <c r="E20" s="419"/>
      <c r="F20" s="419"/>
      <c r="G20" s="420"/>
      <c r="H20" s="1"/>
    </row>
    <row r="21" spans="1:8">
      <c r="A21" s="442"/>
      <c r="B21" s="1" t="s">
        <v>22</v>
      </c>
      <c r="C21" s="4">
        <v>0.01</v>
      </c>
      <c r="D21" s="418">
        <f>+$H$12*C21</f>
        <v>40000</v>
      </c>
      <c r="E21" s="419"/>
      <c r="F21" s="419"/>
      <c r="G21" s="420"/>
      <c r="H21" s="1"/>
    </row>
    <row r="22" spans="1:8">
      <c r="A22" s="442"/>
      <c r="B22" s="1" t="s">
        <v>23</v>
      </c>
      <c r="C22" s="4">
        <v>4.1700000000000001E-2</v>
      </c>
      <c r="D22" s="418">
        <f>$F$12*C22</f>
        <v>146025.47700000001</v>
      </c>
      <c r="E22" s="419"/>
      <c r="F22" s="419"/>
      <c r="G22" s="420"/>
      <c r="H22" s="1"/>
    </row>
    <row r="23" spans="1:8">
      <c r="A23" s="443"/>
      <c r="B23" s="1" t="s">
        <v>87</v>
      </c>
      <c r="C23" s="4"/>
      <c r="D23" s="418">
        <v>30000</v>
      </c>
      <c r="E23" s="419"/>
      <c r="F23" s="419"/>
      <c r="G23" s="420"/>
      <c r="H23" s="1"/>
    </row>
    <row r="24" spans="1:8" ht="15.75">
      <c r="A24" s="444" t="s">
        <v>24</v>
      </c>
      <c r="B24" s="444"/>
      <c r="C24" s="7">
        <f>SUM(C19:C22)</f>
        <v>0.21829999999999999</v>
      </c>
      <c r="D24" s="424">
        <f>SUM(D19:F23)</f>
        <v>882425.47699999996</v>
      </c>
      <c r="E24" s="425"/>
      <c r="F24" s="425"/>
      <c r="G24" s="426"/>
      <c r="H24" s="202">
        <f>+SUM(D19:F23)</f>
        <v>882425.47699999996</v>
      </c>
    </row>
    <row r="25" spans="1:8" ht="18.75">
      <c r="A25" s="444" t="s">
        <v>25</v>
      </c>
      <c r="B25" s="444"/>
      <c r="C25" s="7">
        <f>+C18+C24</f>
        <v>0.53766000000000003</v>
      </c>
      <c r="D25" s="415">
        <f>+D18+D24</f>
        <v>2000763.5185999998</v>
      </c>
      <c r="E25" s="416"/>
      <c r="F25" s="416"/>
      <c r="G25" s="417"/>
      <c r="H25" s="2"/>
    </row>
    <row r="26" spans="1:8">
      <c r="A26" s="1"/>
      <c r="B26" s="1"/>
      <c r="C26" s="1"/>
      <c r="D26" s="445"/>
      <c r="E26" s="446"/>
      <c r="F26" s="447"/>
      <c r="G26" s="191"/>
      <c r="H26" s="1"/>
    </row>
    <row r="27" spans="1:8" ht="18.75">
      <c r="A27" s="438" t="s">
        <v>26</v>
      </c>
      <c r="B27" s="439"/>
      <c r="C27" s="439"/>
      <c r="D27" s="439"/>
      <c r="E27" s="439"/>
      <c r="F27" s="440"/>
      <c r="G27" s="190"/>
      <c r="H27" s="8">
        <f>+H12+H18+H24</f>
        <v>6000763.5186000001</v>
      </c>
    </row>
    <row r="29" spans="1:8" ht="18.75">
      <c r="A29" s="437" t="s">
        <v>205</v>
      </c>
      <c r="B29" s="437"/>
      <c r="C29" s="437"/>
      <c r="D29" s="437"/>
      <c r="E29" s="437"/>
      <c r="F29" s="437"/>
      <c r="G29" s="437"/>
      <c r="H29" s="437"/>
    </row>
    <row r="31" spans="1:8" ht="18.75">
      <c r="A31" s="20" t="s">
        <v>206</v>
      </c>
      <c r="B31" s="20"/>
      <c r="C31" s="193">
        <v>1750905</v>
      </c>
    </row>
    <row r="32" spans="1:8" ht="18.75">
      <c r="A32" s="20" t="s">
        <v>207</v>
      </c>
      <c r="B32" s="20"/>
      <c r="C32" s="193">
        <v>249095</v>
      </c>
    </row>
    <row r="33" spans="1:3" ht="18.75">
      <c r="A33" s="20" t="s">
        <v>208</v>
      </c>
      <c r="B33" s="20"/>
      <c r="C33" s="194">
        <v>220</v>
      </c>
    </row>
  </sheetData>
  <mergeCells count="26">
    <mergeCell ref="A29:H29"/>
    <mergeCell ref="A27:F27"/>
    <mergeCell ref="A13:A23"/>
    <mergeCell ref="A24:B24"/>
    <mergeCell ref="A25:B25"/>
    <mergeCell ref="D26:F26"/>
    <mergeCell ref="D14:G14"/>
    <mergeCell ref="D15:G15"/>
    <mergeCell ref="D16:G16"/>
    <mergeCell ref="D17:G17"/>
    <mergeCell ref="D19:G19"/>
    <mergeCell ref="D20:G20"/>
    <mergeCell ref="A1:H2"/>
    <mergeCell ref="A3:A12"/>
    <mergeCell ref="D13:F13"/>
    <mergeCell ref="H3:H4"/>
    <mergeCell ref="B3:B4"/>
    <mergeCell ref="C3:C4"/>
    <mergeCell ref="F3:F4"/>
    <mergeCell ref="G3:G4"/>
    <mergeCell ref="D25:G25"/>
    <mergeCell ref="D21:G21"/>
    <mergeCell ref="D22:G22"/>
    <mergeCell ref="D23:G23"/>
    <mergeCell ref="D18:G18"/>
    <mergeCell ref="D24:G24"/>
  </mergeCells>
  <pageMargins left="2.2400000000000002" right="0.7" top="0.83" bottom="0.75" header="0.3" footer="0.3"/>
  <pageSetup paperSize="9" orientation="landscape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1"/>
  <sheetViews>
    <sheetView topLeftCell="A10" zoomScale="210" zoomScaleNormal="210" workbookViewId="0">
      <selection activeCell="F21" sqref="F21"/>
    </sheetView>
  </sheetViews>
  <sheetFormatPr baseColWidth="10" defaultColWidth="11.42578125" defaultRowHeight="15"/>
  <cols>
    <col min="1" max="1" width="5.42578125" style="13" customWidth="1"/>
    <col min="2" max="2" width="25.28515625" style="13" customWidth="1"/>
    <col min="3" max="3" width="11.42578125" style="13"/>
    <col min="4" max="4" width="9.140625" style="13" customWidth="1"/>
    <col min="5" max="5" width="6.7109375" style="13" customWidth="1"/>
    <col min="6" max="6" width="11" style="13" customWidth="1"/>
    <col min="7" max="7" width="17.85546875" style="13" customWidth="1"/>
    <col min="8" max="16384" width="11.42578125" style="13"/>
  </cols>
  <sheetData>
    <row r="1" spans="1:9" ht="18.75">
      <c r="A1" s="457" t="s">
        <v>179</v>
      </c>
      <c r="B1" s="458"/>
      <c r="C1" s="458"/>
      <c r="D1" s="458"/>
      <c r="E1" s="458"/>
      <c r="F1" s="458"/>
      <c r="G1" s="459"/>
    </row>
    <row r="2" spans="1:9" ht="9.75" customHeight="1">
      <c r="A2" s="448"/>
      <c r="B2" s="448"/>
      <c r="C2" s="448"/>
      <c r="D2" s="448"/>
      <c r="E2" s="448"/>
      <c r="F2" s="448"/>
      <c r="G2" s="448"/>
    </row>
    <row r="3" spans="1:9" ht="60">
      <c r="A3" s="460" t="s">
        <v>169</v>
      </c>
      <c r="B3" s="144" t="s">
        <v>0</v>
      </c>
      <c r="C3" s="144" t="s">
        <v>159</v>
      </c>
      <c r="D3" s="449" t="s">
        <v>1</v>
      </c>
      <c r="E3" s="450"/>
      <c r="F3" s="449" t="s">
        <v>160</v>
      </c>
      <c r="G3" s="450"/>
    </row>
    <row r="4" spans="1:9">
      <c r="A4" s="461"/>
      <c r="B4" s="470" t="s">
        <v>83</v>
      </c>
      <c r="C4" s="471"/>
      <c r="D4" s="471"/>
      <c r="E4" s="471"/>
      <c r="F4" s="471"/>
      <c r="G4" s="472"/>
    </row>
    <row r="5" spans="1:9" ht="15" customHeight="1">
      <c r="A5" s="461"/>
      <c r="B5" s="1" t="s">
        <v>201</v>
      </c>
      <c r="C5" s="38">
        <v>500</v>
      </c>
      <c r="D5" s="451">
        <f>+'Receta Estandar Principal'!M4</f>
        <v>10</v>
      </c>
      <c r="E5" s="452"/>
      <c r="F5" s="418">
        <f>+C5*$D$5</f>
        <v>5000</v>
      </c>
      <c r="G5" s="420"/>
    </row>
    <row r="6" spans="1:9" ht="15" customHeight="1">
      <c r="A6" s="461"/>
      <c r="B6" s="1" t="s">
        <v>200</v>
      </c>
      <c r="C6" s="38">
        <v>600</v>
      </c>
      <c r="D6" s="453"/>
      <c r="E6" s="454"/>
      <c r="F6" s="418">
        <f t="shared" ref="F6:F14" si="0">+C6*$D$5</f>
        <v>6000</v>
      </c>
      <c r="G6" s="420"/>
    </row>
    <row r="7" spans="1:9" ht="15" customHeight="1">
      <c r="A7" s="461"/>
      <c r="B7" s="1" t="s">
        <v>157</v>
      </c>
      <c r="C7" s="38">
        <v>1200</v>
      </c>
      <c r="D7" s="453"/>
      <c r="E7" s="454"/>
      <c r="F7" s="418">
        <f t="shared" si="0"/>
        <v>12000</v>
      </c>
      <c r="G7" s="420"/>
    </row>
    <row r="8" spans="1:9" ht="15" customHeight="1">
      <c r="A8" s="461"/>
      <c r="B8" s="1" t="s">
        <v>158</v>
      </c>
      <c r="C8" s="38">
        <v>200</v>
      </c>
      <c r="D8" s="453"/>
      <c r="E8" s="454"/>
      <c r="F8" s="418">
        <f t="shared" si="0"/>
        <v>2000</v>
      </c>
      <c r="G8" s="420"/>
    </row>
    <row r="9" spans="1:9" ht="15" customHeight="1">
      <c r="A9" s="461"/>
      <c r="B9" s="1" t="s">
        <v>213</v>
      </c>
      <c r="C9" s="38">
        <v>200</v>
      </c>
      <c r="D9" s="453"/>
      <c r="E9" s="454"/>
      <c r="F9" s="418">
        <f t="shared" si="0"/>
        <v>2000</v>
      </c>
      <c r="G9" s="420"/>
    </row>
    <row r="10" spans="1:9" ht="15" customHeight="1">
      <c r="A10" s="461"/>
      <c r="B10" s="1"/>
      <c r="C10" s="38"/>
      <c r="D10" s="453"/>
      <c r="E10" s="454"/>
      <c r="F10" s="418">
        <f t="shared" si="0"/>
        <v>0</v>
      </c>
      <c r="G10" s="420"/>
    </row>
    <row r="11" spans="1:9" ht="15" customHeight="1">
      <c r="A11" s="461"/>
      <c r="B11" s="1"/>
      <c r="C11" s="38"/>
      <c r="D11" s="453"/>
      <c r="E11" s="454"/>
      <c r="F11" s="418">
        <f t="shared" si="0"/>
        <v>0</v>
      </c>
      <c r="G11" s="420"/>
    </row>
    <row r="12" spans="1:9" ht="15" customHeight="1">
      <c r="A12" s="461"/>
      <c r="B12" s="1"/>
      <c r="C12" s="38"/>
      <c r="D12" s="453"/>
      <c r="E12" s="454"/>
      <c r="F12" s="418">
        <f t="shared" si="0"/>
        <v>0</v>
      </c>
      <c r="G12" s="420"/>
    </row>
    <row r="13" spans="1:9" ht="15" customHeight="1">
      <c r="A13" s="461"/>
      <c r="B13" s="1"/>
      <c r="C13" s="38"/>
      <c r="D13" s="453"/>
      <c r="E13" s="454"/>
      <c r="F13" s="418">
        <f t="shared" si="0"/>
        <v>0</v>
      </c>
      <c r="G13" s="420"/>
      <c r="I13"/>
    </row>
    <row r="14" spans="1:9" ht="15" customHeight="1">
      <c r="A14" s="461"/>
      <c r="B14" s="1"/>
      <c r="C14" s="38"/>
      <c r="D14" s="453"/>
      <c r="E14" s="454"/>
      <c r="F14" s="418">
        <f t="shared" si="0"/>
        <v>0</v>
      </c>
      <c r="G14" s="420"/>
    </row>
    <row r="15" spans="1:9" ht="15" customHeight="1">
      <c r="A15" s="461"/>
      <c r="B15" s="20" t="s">
        <v>211</v>
      </c>
      <c r="C15" s="203">
        <f>SUM(C5:C14)</f>
        <v>2700</v>
      </c>
      <c r="D15" s="455"/>
      <c r="E15" s="456"/>
      <c r="F15" s="599">
        <f>+SUM(F5:G14)</f>
        <v>27000</v>
      </c>
      <c r="G15" s="602"/>
    </row>
    <row r="16" spans="1:9" ht="18.75">
      <c r="A16" s="461"/>
      <c r="B16" s="466" t="s">
        <v>180</v>
      </c>
      <c r="C16" s="467"/>
      <c r="D16" s="467"/>
      <c r="E16" s="468"/>
      <c r="F16" s="600"/>
      <c r="G16" s="601"/>
    </row>
    <row r="17" spans="1:7" ht="18.75">
      <c r="A17" s="461"/>
      <c r="B17" s="466" t="s">
        <v>181</v>
      </c>
      <c r="C17" s="467"/>
      <c r="D17" s="467"/>
      <c r="E17" s="467"/>
      <c r="F17" s="467"/>
      <c r="G17" s="468"/>
    </row>
    <row r="18" spans="1:7">
      <c r="A18" s="461"/>
      <c r="B18" s="473" t="s">
        <v>0</v>
      </c>
      <c r="C18" s="474"/>
      <c r="D18" s="474"/>
      <c r="E18" s="475"/>
      <c r="F18" s="145" t="s">
        <v>14</v>
      </c>
      <c r="G18" s="145" t="s">
        <v>84</v>
      </c>
    </row>
    <row r="19" spans="1:7">
      <c r="A19" s="461"/>
      <c r="B19" s="463" t="s">
        <v>37</v>
      </c>
      <c r="C19" s="464"/>
      <c r="D19" s="464"/>
      <c r="E19" s="465"/>
      <c r="F19" s="38">
        <v>2500000</v>
      </c>
      <c r="G19" s="93">
        <f>+F19</f>
        <v>2500000</v>
      </c>
    </row>
    <row r="20" spans="1:7">
      <c r="A20" s="461"/>
      <c r="B20" s="463" t="s">
        <v>202</v>
      </c>
      <c r="C20" s="464"/>
      <c r="D20" s="464"/>
      <c r="E20" s="465"/>
      <c r="F20" s="38">
        <v>1200000</v>
      </c>
      <c r="G20" s="93">
        <f t="shared" ref="G20:G30" si="1">+F20</f>
        <v>1200000</v>
      </c>
    </row>
    <row r="21" spans="1:7">
      <c r="A21" s="461"/>
      <c r="B21" s="463" t="s">
        <v>212</v>
      </c>
      <c r="C21" s="464"/>
      <c r="D21" s="464"/>
      <c r="E21" s="465"/>
      <c r="F21" s="603" t="s">
        <v>214</v>
      </c>
      <c r="G21" s="93" t="str">
        <f t="shared" si="1"/>
        <v>}</v>
      </c>
    </row>
    <row r="22" spans="1:7">
      <c r="A22" s="461"/>
      <c r="B22" s="463"/>
      <c r="C22" s="464"/>
      <c r="D22" s="464"/>
      <c r="E22" s="465"/>
      <c r="F22" s="38"/>
      <c r="G22" s="93">
        <f t="shared" si="1"/>
        <v>0</v>
      </c>
    </row>
    <row r="23" spans="1:7">
      <c r="A23" s="461"/>
      <c r="B23" s="463"/>
      <c r="C23" s="464"/>
      <c r="D23" s="464"/>
      <c r="E23" s="465"/>
      <c r="F23" s="38"/>
      <c r="G23" s="93">
        <f t="shared" si="1"/>
        <v>0</v>
      </c>
    </row>
    <row r="24" spans="1:7">
      <c r="A24" s="461"/>
      <c r="B24" s="463"/>
      <c r="C24" s="464"/>
      <c r="D24" s="464"/>
      <c r="E24" s="465"/>
      <c r="F24" s="38"/>
      <c r="G24" s="93">
        <f t="shared" si="1"/>
        <v>0</v>
      </c>
    </row>
    <row r="25" spans="1:7">
      <c r="A25" s="461"/>
      <c r="B25" s="463"/>
      <c r="C25" s="464"/>
      <c r="D25" s="464"/>
      <c r="E25" s="465"/>
      <c r="F25" s="38"/>
      <c r="G25" s="93">
        <f t="shared" si="1"/>
        <v>0</v>
      </c>
    </row>
    <row r="26" spans="1:7">
      <c r="A26" s="461"/>
      <c r="B26" s="463"/>
      <c r="C26" s="464"/>
      <c r="D26" s="464"/>
      <c r="E26" s="465"/>
      <c r="F26" s="38"/>
      <c r="G26" s="93">
        <f t="shared" si="1"/>
        <v>0</v>
      </c>
    </row>
    <row r="27" spans="1:7">
      <c r="A27" s="461"/>
      <c r="B27" s="463"/>
      <c r="C27" s="464"/>
      <c r="D27" s="464"/>
      <c r="E27" s="465"/>
      <c r="F27" s="38"/>
      <c r="G27" s="93">
        <f t="shared" si="1"/>
        <v>0</v>
      </c>
    </row>
    <row r="28" spans="1:7">
      <c r="A28" s="461"/>
      <c r="B28" s="463"/>
      <c r="C28" s="464"/>
      <c r="D28" s="464"/>
      <c r="E28" s="465"/>
      <c r="F28" s="38"/>
      <c r="G28" s="93">
        <f t="shared" si="1"/>
        <v>0</v>
      </c>
    </row>
    <row r="29" spans="1:7">
      <c r="A29" s="461"/>
      <c r="B29" s="463"/>
      <c r="C29" s="464"/>
      <c r="D29" s="464"/>
      <c r="E29" s="465"/>
      <c r="F29" s="38"/>
      <c r="G29" s="93">
        <f t="shared" si="1"/>
        <v>0</v>
      </c>
    </row>
    <row r="30" spans="1:7">
      <c r="A30" s="462"/>
      <c r="B30" s="476" t="s">
        <v>85</v>
      </c>
      <c r="C30" s="477"/>
      <c r="D30" s="477"/>
      <c r="E30" s="478"/>
      <c r="F30" s="38"/>
      <c r="G30" s="93">
        <f t="shared" si="1"/>
        <v>0</v>
      </c>
    </row>
    <row r="31" spans="1:7" ht="18.75">
      <c r="A31" s="469" t="s">
        <v>27</v>
      </c>
      <c r="B31" s="469"/>
      <c r="C31" s="469"/>
      <c r="D31" s="469"/>
      <c r="E31" s="469"/>
      <c r="F31" s="469"/>
      <c r="G31" s="94">
        <f>SUM(G19:G30)</f>
        <v>3700000</v>
      </c>
    </row>
  </sheetData>
  <mergeCells count="34">
    <mergeCell ref="A31:F31"/>
    <mergeCell ref="B4:G4"/>
    <mergeCell ref="B17:G17"/>
    <mergeCell ref="B18:E18"/>
    <mergeCell ref="B19:E19"/>
    <mergeCell ref="B20:E20"/>
    <mergeCell ref="B21:E21"/>
    <mergeCell ref="B22:E22"/>
    <mergeCell ref="B23:E23"/>
    <mergeCell ref="B27:E27"/>
    <mergeCell ref="B28:E28"/>
    <mergeCell ref="B29:E29"/>
    <mergeCell ref="B30:E30"/>
    <mergeCell ref="F15:G16"/>
    <mergeCell ref="A1:G1"/>
    <mergeCell ref="A3:A30"/>
    <mergeCell ref="F3:G3"/>
    <mergeCell ref="F8:G8"/>
    <mergeCell ref="F14:G14"/>
    <mergeCell ref="F9:G9"/>
    <mergeCell ref="F10:G10"/>
    <mergeCell ref="F11:G11"/>
    <mergeCell ref="F12:G12"/>
    <mergeCell ref="F13:G13"/>
    <mergeCell ref="B24:E24"/>
    <mergeCell ref="B25:E25"/>
    <mergeCell ref="B26:E26"/>
    <mergeCell ref="B16:E16"/>
    <mergeCell ref="A2:G2"/>
    <mergeCell ref="D3:E3"/>
    <mergeCell ref="F7:G7"/>
    <mergeCell ref="D5:E15"/>
    <mergeCell ref="F5:G5"/>
    <mergeCell ref="F6:G6"/>
  </mergeCells>
  <pageMargins left="0.97" right="0.7" top="1.67" bottom="0.75" header="0.3" footer="0.3"/>
  <pageSetup paperSize="9" orientation="portrait" horizont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1"/>
  <sheetViews>
    <sheetView zoomScale="150" zoomScaleNormal="150" workbookViewId="0">
      <selection activeCell="C19" sqref="C19:D19"/>
    </sheetView>
  </sheetViews>
  <sheetFormatPr baseColWidth="10" defaultColWidth="11.42578125" defaultRowHeight="15"/>
  <cols>
    <col min="1" max="1" width="11.42578125" style="13"/>
    <col min="2" max="2" width="22.42578125" style="13" customWidth="1"/>
    <col min="3" max="3" width="18.28515625" style="13" customWidth="1"/>
    <col min="4" max="5" width="11.42578125" style="13"/>
    <col min="6" max="6" width="17.42578125" style="13" bestFit="1" customWidth="1"/>
    <col min="7" max="7" width="15.85546875" style="13" customWidth="1"/>
    <col min="8" max="16384" width="11.42578125" style="13"/>
  </cols>
  <sheetData>
    <row r="1" spans="1:9">
      <c r="A1" s="491" t="s">
        <v>31</v>
      </c>
      <c r="B1" s="491"/>
      <c r="C1" s="491"/>
      <c r="D1" s="491"/>
      <c r="E1" s="491"/>
      <c r="F1" s="491"/>
      <c r="G1" s="491"/>
    </row>
    <row r="2" spans="1:9">
      <c r="A2" s="491"/>
      <c r="B2" s="491"/>
      <c r="C2" s="491"/>
      <c r="D2" s="491"/>
      <c r="E2" s="491"/>
      <c r="F2" s="491"/>
      <c r="G2" s="491"/>
    </row>
    <row r="3" spans="1:9">
      <c r="A3" s="445"/>
      <c r="B3" s="446"/>
      <c r="C3" s="446"/>
      <c r="D3" s="446"/>
      <c r="E3" s="446"/>
      <c r="F3" s="446"/>
      <c r="G3" s="447"/>
    </row>
    <row r="4" spans="1:9">
      <c r="A4" s="485" t="s">
        <v>10</v>
      </c>
      <c r="B4" s="492" t="s">
        <v>86</v>
      </c>
      <c r="C4" s="493"/>
      <c r="D4" s="493"/>
      <c r="E4" s="494"/>
      <c r="F4" s="39" t="s">
        <v>84</v>
      </c>
      <c r="G4" s="39" t="s">
        <v>68</v>
      </c>
    </row>
    <row r="5" spans="1:9" ht="15.75">
      <c r="A5" s="486"/>
      <c r="B5" s="488" t="s">
        <v>182</v>
      </c>
      <c r="C5" s="489"/>
      <c r="D5" s="489"/>
      <c r="E5" s="490"/>
      <c r="F5" s="146">
        <f>+'Receta Estandar Principal'!M50</f>
        <v>145089.77443609023</v>
      </c>
      <c r="G5" s="98">
        <f>+F5/'Receta Estandar Principal'!M4</f>
        <v>14508.977443609023</v>
      </c>
    </row>
    <row r="6" spans="1:9" ht="15.75">
      <c r="A6" s="486"/>
      <c r="B6" s="479"/>
      <c r="C6" s="480"/>
      <c r="D6" s="480"/>
      <c r="E6" s="481"/>
      <c r="F6" s="147"/>
      <c r="G6" s="148"/>
    </row>
    <row r="7" spans="1:9" ht="15.75">
      <c r="A7" s="486"/>
      <c r="B7" s="488" t="s">
        <v>28</v>
      </c>
      <c r="C7" s="489"/>
      <c r="D7" s="489"/>
      <c r="E7" s="490"/>
      <c r="F7" s="146">
        <f>+'Mano de obra'!H27</f>
        <v>6000763.5186000001</v>
      </c>
      <c r="G7" s="98">
        <f>+F7/'Receta Estandar Principal'!M4</f>
        <v>600076.35186000005</v>
      </c>
    </row>
    <row r="8" spans="1:9" ht="15.75">
      <c r="A8" s="486"/>
      <c r="B8" s="479"/>
      <c r="C8" s="480"/>
      <c r="D8" s="480"/>
      <c r="E8" s="481"/>
      <c r="F8" s="147"/>
      <c r="G8" s="148"/>
    </row>
    <row r="9" spans="1:9" ht="15.75">
      <c r="A9" s="486"/>
      <c r="B9" s="488" t="s">
        <v>29</v>
      </c>
      <c r="C9" s="489"/>
      <c r="D9" s="489"/>
      <c r="E9" s="490"/>
      <c r="F9" s="98">
        <f>+CIS!F15+CIS!G31</f>
        <v>3727000</v>
      </c>
      <c r="G9" s="98">
        <f>+F9/'Receta Estandar Principal'!M4</f>
        <v>372700</v>
      </c>
    </row>
    <row r="10" spans="1:9" ht="15.75">
      <c r="A10" s="486"/>
      <c r="B10" s="479"/>
      <c r="C10" s="480"/>
      <c r="D10" s="480"/>
      <c r="E10" s="481"/>
      <c r="F10" s="148"/>
      <c r="G10" s="148"/>
    </row>
    <row r="11" spans="1:9" ht="18.75">
      <c r="A11" s="487"/>
      <c r="B11" s="482" t="s">
        <v>30</v>
      </c>
      <c r="C11" s="483"/>
      <c r="D11" s="483"/>
      <c r="E11" s="484"/>
      <c r="F11" s="97">
        <f>SUM(F5:F10)</f>
        <v>9872853.2930360902</v>
      </c>
      <c r="G11" s="97">
        <f>SUM(G5:G10)</f>
        <v>987285.32930360909</v>
      </c>
      <c r="I11" s="36"/>
    </row>
    <row r="15" spans="1:9" ht="15" customHeight="1">
      <c r="A15" s="499" t="s">
        <v>32</v>
      </c>
      <c r="B15" s="500"/>
      <c r="C15" s="500"/>
      <c r="D15" s="500"/>
      <c r="E15" s="500"/>
      <c r="F15" s="500"/>
      <c r="G15" s="501"/>
    </row>
    <row r="16" spans="1:9" ht="3.75" customHeight="1">
      <c r="A16" s="502"/>
      <c r="B16" s="503"/>
      <c r="C16" s="503"/>
      <c r="D16" s="503"/>
      <c r="E16" s="503"/>
      <c r="F16" s="503"/>
      <c r="G16" s="504"/>
    </row>
    <row r="17" spans="1:7">
      <c r="A17" s="502"/>
      <c r="B17" s="503"/>
      <c r="C17" s="503"/>
      <c r="D17" s="503"/>
      <c r="E17" s="503"/>
      <c r="F17" s="503"/>
      <c r="G17" s="504"/>
    </row>
    <row r="18" spans="1:7">
      <c r="A18" s="445" t="s">
        <v>33</v>
      </c>
      <c r="B18" s="447"/>
      <c r="C18" s="495">
        <f>+G11</f>
        <v>987285.32930360909</v>
      </c>
      <c r="D18" s="496"/>
      <c r="E18" s="505">
        <f>ROUND(C18/(1-C19),-3)</f>
        <v>1645000</v>
      </c>
      <c r="F18" s="505"/>
      <c r="G18" s="505"/>
    </row>
    <row r="19" spans="1:7" ht="18.75">
      <c r="A19" s="445" t="s">
        <v>34</v>
      </c>
      <c r="B19" s="447"/>
      <c r="C19" s="497">
        <v>0.4</v>
      </c>
      <c r="D19" s="498"/>
      <c r="E19" s="505"/>
      <c r="F19" s="505"/>
      <c r="G19" s="505"/>
    </row>
    <row r="20" spans="1:7" ht="15" customHeight="1">
      <c r="A20" s="499" t="s">
        <v>165</v>
      </c>
      <c r="B20" s="500"/>
      <c r="C20" s="500"/>
      <c r="D20" s="501"/>
      <c r="E20" s="505"/>
      <c r="F20" s="505"/>
      <c r="G20" s="505"/>
    </row>
    <row r="21" spans="1:7" ht="5.25" customHeight="1">
      <c r="A21" s="506"/>
      <c r="B21" s="507"/>
      <c r="C21" s="507"/>
      <c r="D21" s="508"/>
      <c r="E21" s="505"/>
      <c r="F21" s="505"/>
      <c r="G21" s="505"/>
    </row>
  </sheetData>
  <mergeCells count="18">
    <mergeCell ref="C18:D18"/>
    <mergeCell ref="C19:D19"/>
    <mergeCell ref="A18:B18"/>
    <mergeCell ref="A19:B19"/>
    <mergeCell ref="A15:G17"/>
    <mergeCell ref="E18:G21"/>
    <mergeCell ref="A20:D21"/>
    <mergeCell ref="A1:G2"/>
    <mergeCell ref="A3:G3"/>
    <mergeCell ref="B4:E4"/>
    <mergeCell ref="B5:E5"/>
    <mergeCell ref="B9:E9"/>
    <mergeCell ref="B10:E10"/>
    <mergeCell ref="B11:E11"/>
    <mergeCell ref="A4:A11"/>
    <mergeCell ref="B6:E6"/>
    <mergeCell ref="B7:E7"/>
    <mergeCell ref="B8:E8"/>
  </mergeCells>
  <pageMargins left="0.70866141732283472" right="0.70866141732283472" top="2.0099999999999998" bottom="0.74803149606299213" header="0.31496062992125984" footer="0.31496062992125984"/>
  <pageSetup paperSize="9" scale="88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2"/>
  <sheetViews>
    <sheetView topLeftCell="A16" workbookViewId="0">
      <selection activeCell="I25" sqref="I25"/>
    </sheetView>
  </sheetViews>
  <sheetFormatPr baseColWidth="10" defaultColWidth="11.42578125" defaultRowHeight="15"/>
  <cols>
    <col min="1" max="1" width="11.42578125" style="13"/>
    <col min="2" max="2" width="14.42578125" style="13" customWidth="1"/>
    <col min="3" max="3" width="14.42578125" style="13" bestFit="1" customWidth="1"/>
    <col min="4" max="4" width="9.7109375" style="13" customWidth="1"/>
    <col min="5" max="5" width="6" style="13" customWidth="1"/>
    <col min="6" max="6" width="9.42578125" style="13" customWidth="1"/>
    <col min="7" max="7" width="18.85546875" style="13" customWidth="1"/>
    <col min="8" max="16384" width="11.42578125" style="13"/>
  </cols>
  <sheetData>
    <row r="1" spans="1:7" ht="15" customHeight="1">
      <c r="A1" s="499" t="s">
        <v>35</v>
      </c>
      <c r="B1" s="500"/>
      <c r="C1" s="500"/>
      <c r="D1" s="500"/>
      <c r="E1" s="500"/>
      <c r="F1" s="500"/>
      <c r="G1" s="501"/>
    </row>
    <row r="2" spans="1:7" ht="15" customHeight="1">
      <c r="A2" s="502"/>
      <c r="B2" s="503"/>
      <c r="C2" s="503"/>
      <c r="D2" s="503"/>
      <c r="E2" s="503"/>
      <c r="F2" s="503"/>
      <c r="G2" s="504"/>
    </row>
    <row r="3" spans="1:7">
      <c r="A3" s="506"/>
      <c r="B3" s="507"/>
      <c r="C3" s="507"/>
      <c r="D3" s="507"/>
      <c r="E3" s="507"/>
      <c r="F3" s="507"/>
      <c r="G3" s="508"/>
    </row>
    <row r="4" spans="1:7" ht="15.75">
      <c r="A4" s="532" t="s">
        <v>35</v>
      </c>
      <c r="B4" s="535" t="s">
        <v>36</v>
      </c>
      <c r="C4" s="536"/>
      <c r="D4" s="536"/>
      <c r="E4" s="536"/>
      <c r="F4" s="536"/>
      <c r="G4" s="537"/>
    </row>
    <row r="5" spans="1:7">
      <c r="A5" s="533"/>
      <c r="B5" s="512" t="s">
        <v>12</v>
      </c>
      <c r="C5" s="513"/>
      <c r="D5" s="513"/>
      <c r="E5" s="513"/>
      <c r="F5" s="514"/>
      <c r="G5" s="91" t="s">
        <v>14</v>
      </c>
    </row>
    <row r="6" spans="1:7" ht="15.75">
      <c r="A6" s="533"/>
      <c r="B6" s="509" t="str">
        <f>+CIS!A31</f>
        <v>TOTAL CIF</v>
      </c>
      <c r="C6" s="509"/>
      <c r="D6" s="509"/>
      <c r="E6" s="509"/>
      <c r="F6" s="509"/>
      <c r="G6" s="34">
        <f>+CIS!G31</f>
        <v>3700000</v>
      </c>
    </row>
    <row r="7" spans="1:7" ht="15.75">
      <c r="A7" s="533"/>
      <c r="B7" s="509" t="str">
        <f>+'Mano de obra'!A1</f>
        <v>MANO DE OBRA DIRECTA</v>
      </c>
      <c r="C7" s="509"/>
      <c r="D7" s="509"/>
      <c r="E7" s="509"/>
      <c r="F7" s="509"/>
      <c r="G7" s="34">
        <f>+'Mano de obra'!H27</f>
        <v>6000763.5186000001</v>
      </c>
    </row>
    <row r="8" spans="1:7" ht="15.75">
      <c r="A8" s="533"/>
      <c r="B8" s="509">
        <f>+'Mano de obra'!A2</f>
        <v>0</v>
      </c>
      <c r="C8" s="509"/>
      <c r="D8" s="509"/>
      <c r="E8" s="509"/>
      <c r="F8" s="509"/>
      <c r="G8" s="34" t="str">
        <f>+CIS!G21</f>
        <v>}</v>
      </c>
    </row>
    <row r="9" spans="1:7" ht="15.75">
      <c r="A9" s="533"/>
      <c r="B9" s="509">
        <f>+CIS!B22</f>
        <v>0</v>
      </c>
      <c r="C9" s="509"/>
      <c r="D9" s="509"/>
      <c r="E9" s="509"/>
      <c r="F9" s="509"/>
      <c r="G9" s="34">
        <f>+CIS!G22</f>
        <v>0</v>
      </c>
    </row>
    <row r="10" spans="1:7" ht="15.75">
      <c r="A10" s="533"/>
      <c r="B10" s="509">
        <f>+CIS!B23</f>
        <v>0</v>
      </c>
      <c r="C10" s="509"/>
      <c r="D10" s="509"/>
      <c r="E10" s="509"/>
      <c r="F10" s="509"/>
      <c r="G10" s="34">
        <f>+CIS!G23</f>
        <v>0</v>
      </c>
    </row>
    <row r="11" spans="1:7" ht="15.75">
      <c r="A11" s="533"/>
      <c r="B11" s="509">
        <f>+CIS!B27</f>
        <v>0</v>
      </c>
      <c r="C11" s="509"/>
      <c r="D11" s="509"/>
      <c r="E11" s="509"/>
      <c r="F11" s="509"/>
      <c r="G11" s="34">
        <f>+CIS!G27</f>
        <v>0</v>
      </c>
    </row>
    <row r="12" spans="1:7" ht="15.75">
      <c r="A12" s="533"/>
      <c r="B12" s="509">
        <f>+CIS!B28</f>
        <v>0</v>
      </c>
      <c r="C12" s="509"/>
      <c r="D12" s="509"/>
      <c r="E12" s="509"/>
      <c r="F12" s="509"/>
      <c r="G12" s="34">
        <f>+CIS!G28</f>
        <v>0</v>
      </c>
    </row>
    <row r="13" spans="1:7" ht="15.75">
      <c r="A13" s="533"/>
      <c r="B13" s="509">
        <f>+CIS!B29</f>
        <v>0</v>
      </c>
      <c r="C13" s="509"/>
      <c r="D13" s="509"/>
      <c r="E13" s="509"/>
      <c r="F13" s="509"/>
      <c r="G13" s="34">
        <f>+CIS!G29</f>
        <v>0</v>
      </c>
    </row>
    <row r="14" spans="1:7">
      <c r="A14" s="533"/>
      <c r="B14" s="509"/>
      <c r="C14" s="509"/>
      <c r="D14" s="509"/>
      <c r="E14" s="509"/>
      <c r="F14" s="509"/>
      <c r="G14" s="149"/>
    </row>
    <row r="15" spans="1:7">
      <c r="A15" s="533"/>
      <c r="B15" s="509"/>
      <c r="C15" s="509"/>
      <c r="D15" s="509"/>
      <c r="E15" s="509"/>
      <c r="F15" s="509"/>
      <c r="G15" s="149"/>
    </row>
    <row r="16" spans="1:7">
      <c r="A16" s="533"/>
      <c r="B16" s="509"/>
      <c r="C16" s="509"/>
      <c r="D16" s="509"/>
      <c r="E16" s="509"/>
      <c r="F16" s="509"/>
      <c r="G16" s="149"/>
    </row>
    <row r="17" spans="1:7">
      <c r="A17" s="533"/>
      <c r="B17" s="509"/>
      <c r="C17" s="509"/>
      <c r="D17" s="509"/>
      <c r="E17" s="509"/>
      <c r="F17" s="509"/>
      <c r="G17" s="149"/>
    </row>
    <row r="18" spans="1:7" ht="18.75">
      <c r="A18" s="533"/>
      <c r="B18" s="466" t="s">
        <v>167</v>
      </c>
      <c r="C18" s="467"/>
      <c r="D18" s="467"/>
      <c r="E18" s="467"/>
      <c r="F18" s="467"/>
      <c r="G18" s="92">
        <f>SUM(G6:G17)</f>
        <v>9700763.5186000001</v>
      </c>
    </row>
    <row r="19" spans="1:7">
      <c r="A19" s="533"/>
      <c r="B19" s="445"/>
      <c r="C19" s="446"/>
      <c r="D19" s="446"/>
      <c r="E19" s="446"/>
      <c r="F19" s="446"/>
      <c r="G19" s="447"/>
    </row>
    <row r="20" spans="1:7" ht="21">
      <c r="A20" s="533"/>
      <c r="B20" s="524" t="s">
        <v>38</v>
      </c>
      <c r="C20" s="524"/>
      <c r="D20" s="524"/>
      <c r="E20" s="524"/>
      <c r="F20" s="524"/>
      <c r="G20" s="100">
        <f>+G18/(C24-Resumen!G11)</f>
        <v>14.749197411590034</v>
      </c>
    </row>
    <row r="21" spans="1:7">
      <c r="A21" s="533"/>
      <c r="B21" s="445"/>
      <c r="C21" s="446"/>
      <c r="D21" s="446"/>
      <c r="E21" s="446"/>
      <c r="F21" s="446"/>
      <c r="G21" s="447"/>
    </row>
    <row r="22" spans="1:7" ht="15.75">
      <c r="A22" s="533"/>
      <c r="B22" s="525" t="s">
        <v>39</v>
      </c>
      <c r="C22" s="526"/>
      <c r="D22" s="526"/>
      <c r="E22" s="526"/>
      <c r="F22" s="526"/>
      <c r="G22" s="527"/>
    </row>
    <row r="23" spans="1:7" ht="18.75">
      <c r="A23" s="533"/>
      <c r="B23" s="20" t="s">
        <v>40</v>
      </c>
      <c r="C23" s="101">
        <f>+G20</f>
        <v>14.749197411590034</v>
      </c>
      <c r="D23" s="518"/>
      <c r="E23" s="519"/>
      <c r="F23" s="519"/>
      <c r="G23" s="520"/>
    </row>
    <row r="24" spans="1:7" ht="18.75">
      <c r="A24" s="533"/>
      <c r="B24" s="20" t="s">
        <v>41</v>
      </c>
      <c r="C24" s="12">
        <f>+Resumen!E18</f>
        <v>1645000</v>
      </c>
      <c r="D24" s="521"/>
      <c r="E24" s="522"/>
      <c r="F24" s="522"/>
      <c r="G24" s="523"/>
    </row>
    <row r="25" spans="1:7" ht="18.75">
      <c r="A25" s="533"/>
      <c r="B25" s="488" t="s">
        <v>42</v>
      </c>
      <c r="C25" s="489"/>
      <c r="D25" s="489"/>
      <c r="E25" s="489"/>
      <c r="F25" s="528">
        <f>+C23*C24</f>
        <v>24262429.742065605</v>
      </c>
      <c r="G25" s="528"/>
    </row>
    <row r="26" spans="1:7">
      <c r="A26" s="533"/>
      <c r="B26" s="1" t="s">
        <v>43</v>
      </c>
      <c r="C26" s="445"/>
      <c r="D26" s="446"/>
      <c r="E26" s="446"/>
      <c r="F26" s="446"/>
      <c r="G26" s="447"/>
    </row>
    <row r="27" spans="1:7" ht="18.75">
      <c r="A27" s="533"/>
      <c r="B27" s="463" t="s">
        <v>44</v>
      </c>
      <c r="C27" s="464"/>
      <c r="D27" s="464"/>
      <c r="E27" s="464"/>
      <c r="F27" s="465"/>
      <c r="G27" s="88">
        <f>+G18</f>
        <v>9700763.5186000001</v>
      </c>
    </row>
    <row r="28" spans="1:7" ht="18.75">
      <c r="A28" s="533"/>
      <c r="B28" s="473" t="s">
        <v>168</v>
      </c>
      <c r="C28" s="474"/>
      <c r="D28" s="474"/>
      <c r="E28" s="474"/>
      <c r="F28" s="475"/>
      <c r="G28" s="89">
        <f>+SUM(E29:E31)</f>
        <v>14561666.223465607</v>
      </c>
    </row>
    <row r="29" spans="1:7" ht="15.75">
      <c r="A29" s="533"/>
      <c r="B29" s="515" t="s">
        <v>45</v>
      </c>
      <c r="C29" s="516"/>
      <c r="D29" s="517"/>
      <c r="E29" s="510">
        <f>+C23*Resumen!G5</f>
        <v>213995.77255609637</v>
      </c>
      <c r="F29" s="511"/>
      <c r="G29" s="529"/>
    </row>
    <row r="30" spans="1:7" ht="15.75">
      <c r="A30" s="533"/>
      <c r="B30" s="515" t="s">
        <v>28</v>
      </c>
      <c r="C30" s="516"/>
      <c r="D30" s="517"/>
      <c r="E30" s="510">
        <f>+Resumen!G7*'PUNTO DE EQUILIBRIO'!C23</f>
        <v>8850644.5756099038</v>
      </c>
      <c r="F30" s="511"/>
      <c r="G30" s="530"/>
    </row>
    <row r="31" spans="1:7" ht="15.75">
      <c r="A31" s="533"/>
      <c r="B31" s="515" t="s">
        <v>166</v>
      </c>
      <c r="C31" s="516"/>
      <c r="D31" s="517"/>
      <c r="E31" s="510">
        <f>+C23*Resumen!G9</f>
        <v>5497025.8752996055</v>
      </c>
      <c r="F31" s="511"/>
      <c r="G31" s="531"/>
    </row>
    <row r="32" spans="1:7" ht="15.75">
      <c r="A32" s="534"/>
      <c r="B32" s="473" t="s">
        <v>47</v>
      </c>
      <c r="C32" s="474"/>
      <c r="D32" s="474"/>
      <c r="E32" s="474"/>
      <c r="F32" s="475"/>
      <c r="G32" s="90">
        <f>+F25-G27-G28</f>
        <v>0</v>
      </c>
    </row>
  </sheetData>
  <mergeCells count="35">
    <mergeCell ref="A1:G3"/>
    <mergeCell ref="B32:F32"/>
    <mergeCell ref="B20:F20"/>
    <mergeCell ref="B22:G22"/>
    <mergeCell ref="C26:G26"/>
    <mergeCell ref="B27:F27"/>
    <mergeCell ref="B28:F28"/>
    <mergeCell ref="F25:G25"/>
    <mergeCell ref="B25:E25"/>
    <mergeCell ref="E30:F30"/>
    <mergeCell ref="E31:F31"/>
    <mergeCell ref="B29:D29"/>
    <mergeCell ref="B30:D30"/>
    <mergeCell ref="G29:G31"/>
    <mergeCell ref="A4:A32"/>
    <mergeCell ref="B4:G4"/>
    <mergeCell ref="B31:D31"/>
    <mergeCell ref="B13:F13"/>
    <mergeCell ref="B10:F10"/>
    <mergeCell ref="B11:F11"/>
    <mergeCell ref="B12:F12"/>
    <mergeCell ref="B19:G19"/>
    <mergeCell ref="D23:G24"/>
    <mergeCell ref="B21:G21"/>
    <mergeCell ref="B9:F9"/>
    <mergeCell ref="B16:F16"/>
    <mergeCell ref="B17:F17"/>
    <mergeCell ref="E29:F29"/>
    <mergeCell ref="B5:F5"/>
    <mergeCell ref="B18:F18"/>
    <mergeCell ref="B14:F14"/>
    <mergeCell ref="B6:F6"/>
    <mergeCell ref="B7:F7"/>
    <mergeCell ref="B8:F8"/>
    <mergeCell ref="B15:F15"/>
  </mergeCells>
  <pageMargins left="0.83" right="0.5" top="1.57" bottom="0.75" header="0.3" footer="0.3"/>
  <pageSetup paperSize="9" orientation="portrait" horizont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16"/>
  <sheetViews>
    <sheetView workbookViewId="0">
      <selection activeCell="H13" sqref="H13"/>
    </sheetView>
  </sheetViews>
  <sheetFormatPr baseColWidth="10" defaultColWidth="11.42578125" defaultRowHeight="15"/>
  <cols>
    <col min="1" max="1" width="11.42578125" style="13"/>
    <col min="2" max="2" width="27.140625" style="13" bestFit="1" customWidth="1"/>
    <col min="3" max="4" width="11.42578125" style="13"/>
    <col min="5" max="5" width="9" style="13" customWidth="1"/>
    <col min="6" max="6" width="7.85546875" style="13" customWidth="1"/>
    <col min="7" max="7" width="20" style="13" customWidth="1"/>
    <col min="8" max="16384" width="11.42578125" style="13"/>
  </cols>
  <sheetData>
    <row r="1" spans="1:7" ht="28.5">
      <c r="A1" s="538" t="s">
        <v>187</v>
      </c>
      <c r="B1" s="539"/>
      <c r="C1" s="539"/>
      <c r="D1" s="539"/>
      <c r="E1" s="539"/>
      <c r="F1" s="539"/>
      <c r="G1" s="540"/>
    </row>
    <row r="2" spans="1:7" ht="18.75">
      <c r="A2" s="557" t="s">
        <v>51</v>
      </c>
      <c r="B2" s="150" t="s">
        <v>186</v>
      </c>
      <c r="C2" s="574">
        <v>5000000</v>
      </c>
      <c r="D2" s="468"/>
      <c r="E2" s="560">
        <f>(C2+C3)/(C4-C5)</f>
        <v>22.351278105192293</v>
      </c>
      <c r="F2" s="561"/>
      <c r="G2" s="562"/>
    </row>
    <row r="3" spans="1:7" ht="15.75">
      <c r="A3" s="558"/>
      <c r="B3" s="151" t="s">
        <v>49</v>
      </c>
      <c r="C3" s="569">
        <f>+'PUNTO DE EQUILIBRIO'!G18</f>
        <v>9700763.5186000001</v>
      </c>
      <c r="D3" s="570"/>
      <c r="E3" s="563"/>
      <c r="F3" s="564"/>
      <c r="G3" s="565"/>
    </row>
    <row r="4" spans="1:7" ht="15.75">
      <c r="A4" s="558"/>
      <c r="B4" s="25" t="s">
        <v>50</v>
      </c>
      <c r="C4" s="569">
        <f>+Resumen!E18</f>
        <v>1645000</v>
      </c>
      <c r="D4" s="570"/>
      <c r="E4" s="563"/>
      <c r="F4" s="564"/>
      <c r="G4" s="565"/>
    </row>
    <row r="5" spans="1:7" ht="15.75">
      <c r="A5" s="558"/>
      <c r="B5" s="151" t="s">
        <v>2</v>
      </c>
      <c r="C5" s="569">
        <f>+Resumen!G11</f>
        <v>987285.32930360909</v>
      </c>
      <c r="D5" s="570"/>
      <c r="E5" s="563"/>
      <c r="F5" s="564"/>
      <c r="G5" s="565"/>
    </row>
    <row r="6" spans="1:7" ht="31.5" customHeight="1">
      <c r="A6" s="558"/>
      <c r="B6" s="550" t="s">
        <v>48</v>
      </c>
      <c r="C6" s="551"/>
      <c r="D6" s="552"/>
      <c r="E6" s="563"/>
      <c r="F6" s="564"/>
      <c r="G6" s="565"/>
    </row>
    <row r="7" spans="1:7" ht="19.5" customHeight="1">
      <c r="A7" s="558"/>
      <c r="B7" s="99" t="s">
        <v>40</v>
      </c>
      <c r="C7" s="575">
        <f>+E2</f>
        <v>22.351278105192293</v>
      </c>
      <c r="D7" s="576"/>
      <c r="E7" s="563"/>
      <c r="F7" s="564"/>
      <c r="G7" s="565"/>
    </row>
    <row r="8" spans="1:7" ht="19.5" customHeight="1">
      <c r="A8" s="558"/>
      <c r="B8" s="99" t="s">
        <v>41</v>
      </c>
      <c r="C8" s="575">
        <f>+C4</f>
        <v>1645000</v>
      </c>
      <c r="D8" s="576"/>
      <c r="E8" s="566"/>
      <c r="F8" s="567"/>
      <c r="G8" s="568"/>
    </row>
    <row r="9" spans="1:7" ht="18.75">
      <c r="A9" s="558"/>
      <c r="B9" s="571" t="s">
        <v>42</v>
      </c>
      <c r="C9" s="572"/>
      <c r="D9" s="572"/>
      <c r="E9" s="572"/>
      <c r="F9" s="573"/>
      <c r="G9" s="153">
        <f>+C7*C8</f>
        <v>36767852.483041324</v>
      </c>
    </row>
    <row r="10" spans="1:7">
      <c r="A10" s="558"/>
      <c r="B10" s="492" t="s">
        <v>43</v>
      </c>
      <c r="C10" s="493"/>
      <c r="D10" s="493"/>
      <c r="E10" s="493"/>
      <c r="F10" s="493"/>
      <c r="G10" s="577"/>
    </row>
    <row r="11" spans="1:7" ht="18.75">
      <c r="A11" s="558"/>
      <c r="B11" s="541" t="s">
        <v>183</v>
      </c>
      <c r="C11" s="542"/>
      <c r="D11" s="542"/>
      <c r="E11" s="542"/>
      <c r="F11" s="543"/>
      <c r="G11" s="154">
        <f>+C3</f>
        <v>9700763.5186000001</v>
      </c>
    </row>
    <row r="12" spans="1:7" ht="18.75">
      <c r="A12" s="558"/>
      <c r="B12" s="541" t="s">
        <v>184</v>
      </c>
      <c r="C12" s="542"/>
      <c r="D12" s="542"/>
      <c r="E12" s="542"/>
      <c r="F12" s="543"/>
      <c r="G12" s="154">
        <f>+SUM(E13:E15)</f>
        <v>22067088.964441322</v>
      </c>
    </row>
    <row r="13" spans="1:7" ht="18.75">
      <c r="A13" s="558"/>
      <c r="B13" s="541" t="s">
        <v>45</v>
      </c>
      <c r="C13" s="542"/>
      <c r="D13" s="543"/>
      <c r="E13" s="553">
        <f>+(C7*Resumen!G5)</f>
        <v>324294.18986406719</v>
      </c>
      <c r="F13" s="554"/>
      <c r="G13" s="155"/>
    </row>
    <row r="14" spans="1:7" ht="18.75">
      <c r="A14" s="558"/>
      <c r="B14" s="541" t="s">
        <v>28</v>
      </c>
      <c r="C14" s="542"/>
      <c r="D14" s="543"/>
      <c r="E14" s="553">
        <f>+C7*Resumen!G7</f>
        <v>13412473.424772086</v>
      </c>
      <c r="F14" s="554"/>
      <c r="G14" s="155"/>
    </row>
    <row r="15" spans="1:7" ht="19.5" thickBot="1">
      <c r="A15" s="559"/>
      <c r="B15" s="544" t="s">
        <v>46</v>
      </c>
      <c r="C15" s="545"/>
      <c r="D15" s="546"/>
      <c r="E15" s="555">
        <f>+C7*Resumen!G9</f>
        <v>8330321.3498051679</v>
      </c>
      <c r="F15" s="556"/>
      <c r="G15" s="156"/>
    </row>
    <row r="16" spans="1:7" ht="21">
      <c r="A16" s="547" t="s">
        <v>185</v>
      </c>
      <c r="B16" s="548"/>
      <c r="C16" s="548"/>
      <c r="D16" s="548"/>
      <c r="E16" s="548"/>
      <c r="F16" s="549"/>
      <c r="G16" s="152">
        <f>+G9-G11-G12</f>
        <v>5000000</v>
      </c>
    </row>
  </sheetData>
  <sheetProtection sheet="1" objects="1" scenarios="1"/>
  <mergeCells count="21">
    <mergeCell ref="C8:D8"/>
    <mergeCell ref="B10:G10"/>
    <mergeCell ref="B11:F11"/>
    <mergeCell ref="B12:F12"/>
    <mergeCell ref="B13:D13"/>
    <mergeCell ref="A1:G1"/>
    <mergeCell ref="B14:D14"/>
    <mergeCell ref="B15:D15"/>
    <mergeCell ref="A16:F16"/>
    <mergeCell ref="B6:D6"/>
    <mergeCell ref="E13:F13"/>
    <mergeCell ref="E14:F14"/>
    <mergeCell ref="E15:F15"/>
    <mergeCell ref="A2:A15"/>
    <mergeCell ref="E2:G8"/>
    <mergeCell ref="C3:D3"/>
    <mergeCell ref="B9:F9"/>
    <mergeCell ref="C2:D2"/>
    <mergeCell ref="C4:D4"/>
    <mergeCell ref="C5:D5"/>
    <mergeCell ref="C7:D7"/>
  </mergeCells>
  <pageMargins left="1.1499999999999999" right="0.70866141732283472" top="1.97" bottom="0.74803149606299213" header="0.31496062992125984" footer="0.31496062992125984"/>
  <pageSetup scale="89" orientation="portrait" horizont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I56"/>
  <sheetViews>
    <sheetView zoomScale="85" zoomScaleNormal="85" workbookViewId="0">
      <selection activeCell="F15" sqref="F15"/>
    </sheetView>
  </sheetViews>
  <sheetFormatPr baseColWidth="10" defaultColWidth="11.42578125" defaultRowHeight="15"/>
  <cols>
    <col min="1" max="1" width="54.85546875" style="13" bestFit="1" customWidth="1"/>
    <col min="2" max="2" width="13.85546875" style="13" bestFit="1" customWidth="1"/>
    <col min="3" max="3" width="15.42578125" style="13" bestFit="1" customWidth="1"/>
    <col min="4" max="4" width="18.140625" style="13" bestFit="1" customWidth="1"/>
    <col min="5" max="5" width="18.42578125" style="13" bestFit="1" customWidth="1"/>
    <col min="6" max="7" width="14" style="13" bestFit="1" customWidth="1"/>
    <col min="8" max="8" width="18.28515625" style="13" bestFit="1" customWidth="1"/>
    <col min="9" max="16384" width="11.42578125" style="13"/>
  </cols>
  <sheetData>
    <row r="1" spans="1:9" ht="43.5" customHeight="1" thickBot="1">
      <c r="A1" s="578" t="s">
        <v>81</v>
      </c>
      <c r="B1" s="579"/>
      <c r="C1" s="579"/>
      <c r="D1" s="579"/>
      <c r="E1" s="579"/>
      <c r="F1" s="579"/>
      <c r="G1" s="579"/>
      <c r="H1" s="580"/>
    </row>
    <row r="3" spans="1:9" ht="21">
      <c r="A3" s="14" t="s">
        <v>12</v>
      </c>
      <c r="B3" s="14" t="s">
        <v>56</v>
      </c>
      <c r="C3" s="14" t="s">
        <v>55</v>
      </c>
      <c r="D3" s="14" t="s">
        <v>57</v>
      </c>
      <c r="E3" s="14" t="s">
        <v>58</v>
      </c>
      <c r="F3" s="14" t="s">
        <v>59</v>
      </c>
      <c r="G3" s="14" t="s">
        <v>60</v>
      </c>
      <c r="H3" s="14" t="s">
        <v>61</v>
      </c>
    </row>
    <row r="4" spans="1:9" ht="21">
      <c r="A4" s="15" t="s">
        <v>41</v>
      </c>
      <c r="B4" s="16">
        <v>20000</v>
      </c>
      <c r="C4" s="16">
        <v>22000</v>
      </c>
      <c r="D4" s="16">
        <v>15000</v>
      </c>
      <c r="E4" s="16">
        <v>11000</v>
      </c>
      <c r="F4" s="16">
        <v>9000</v>
      </c>
      <c r="G4" s="16">
        <v>6000</v>
      </c>
      <c r="H4" s="16">
        <v>4000</v>
      </c>
    </row>
    <row r="5" spans="1:9" ht="21">
      <c r="A5" s="15" t="s">
        <v>52</v>
      </c>
      <c r="B5" s="16">
        <v>7000</v>
      </c>
      <c r="C5" s="16">
        <v>8000</v>
      </c>
      <c r="D5" s="16">
        <v>6000</v>
      </c>
      <c r="E5" s="16">
        <v>5000</v>
      </c>
      <c r="F5" s="16">
        <v>4000</v>
      </c>
      <c r="G5" s="16">
        <v>2000</v>
      </c>
      <c r="H5" s="16">
        <v>1500</v>
      </c>
    </row>
    <row r="6" spans="1:9" ht="21">
      <c r="A6" s="17" t="s">
        <v>53</v>
      </c>
      <c r="B6" s="30">
        <f>+B4-B5</f>
        <v>13000</v>
      </c>
      <c r="C6" s="30">
        <f t="shared" ref="C6:H6" si="0">+C4-C5</f>
        <v>14000</v>
      </c>
      <c r="D6" s="30">
        <f t="shared" si="0"/>
        <v>9000</v>
      </c>
      <c r="E6" s="30">
        <f t="shared" si="0"/>
        <v>6000</v>
      </c>
      <c r="F6" s="30">
        <f t="shared" si="0"/>
        <v>5000</v>
      </c>
      <c r="G6" s="30">
        <f t="shared" si="0"/>
        <v>4000</v>
      </c>
      <c r="H6" s="30">
        <f t="shared" si="0"/>
        <v>2500</v>
      </c>
    </row>
    <row r="7" spans="1:9" ht="21">
      <c r="A7" s="15" t="s">
        <v>54</v>
      </c>
      <c r="B7" s="18">
        <v>0.5</v>
      </c>
      <c r="C7" s="18">
        <v>0.2</v>
      </c>
      <c r="D7" s="18">
        <v>0.1</v>
      </c>
      <c r="E7" s="18">
        <v>0.05</v>
      </c>
      <c r="F7" s="18">
        <v>0.05</v>
      </c>
      <c r="G7" s="18">
        <v>0.05</v>
      </c>
      <c r="H7" s="18">
        <v>0.05</v>
      </c>
      <c r="I7" s="19"/>
    </row>
    <row r="8" spans="1:9" ht="21">
      <c r="A8" s="15" t="s">
        <v>66</v>
      </c>
      <c r="B8" s="31">
        <f>+B6*B7</f>
        <v>6500</v>
      </c>
      <c r="C8" s="31">
        <f t="shared" ref="C8:H8" si="1">+C6*C7</f>
        <v>2800</v>
      </c>
      <c r="D8" s="31">
        <f t="shared" si="1"/>
        <v>900</v>
      </c>
      <c r="E8" s="31">
        <f t="shared" si="1"/>
        <v>300</v>
      </c>
      <c r="F8" s="31">
        <f t="shared" si="1"/>
        <v>250</v>
      </c>
      <c r="G8" s="32">
        <f t="shared" si="1"/>
        <v>200</v>
      </c>
      <c r="H8" s="31">
        <f t="shared" si="1"/>
        <v>125</v>
      </c>
    </row>
    <row r="9" spans="1:9" ht="21">
      <c r="A9" s="15"/>
      <c r="B9" s="103">
        <f>+B8/$F$10</f>
        <v>0.58690744920993232</v>
      </c>
      <c r="C9" s="103">
        <f t="shared" ref="C9:H9" si="2">+C8/$F$10</f>
        <v>0.25282167042889392</v>
      </c>
      <c r="D9" s="103">
        <f t="shared" si="2"/>
        <v>8.1264108352144468E-2</v>
      </c>
      <c r="E9" s="103">
        <f t="shared" si="2"/>
        <v>2.7088036117381489E-2</v>
      </c>
      <c r="F9" s="103">
        <f t="shared" si="2"/>
        <v>2.2573363431151242E-2</v>
      </c>
      <c r="G9" s="103">
        <f t="shared" si="2"/>
        <v>1.8058690744920992E-2</v>
      </c>
      <c r="H9" s="103">
        <f t="shared" si="2"/>
        <v>1.1286681715575621E-2</v>
      </c>
      <c r="I9" s="19"/>
    </row>
    <row r="10" spans="1:9" ht="21">
      <c r="A10" s="584" t="str">
        <f>+A15</f>
        <v>TOTAL PROMEDIO MÁRGEN DE CONTRIBUCIÓN</v>
      </c>
      <c r="B10" s="584"/>
      <c r="C10" s="584"/>
      <c r="D10" s="584"/>
      <c r="E10" s="584"/>
      <c r="F10" s="583">
        <f>+SUM(B8:H8)</f>
        <v>11075</v>
      </c>
      <c r="G10" s="583"/>
      <c r="H10" s="583"/>
    </row>
    <row r="14" spans="1:9" ht="21">
      <c r="A14" s="20" t="s">
        <v>62</v>
      </c>
      <c r="B14" s="588">
        <f>+'PUNTO DE EQUILIBRIO'!G18:G18</f>
        <v>9700763.5186000001</v>
      </c>
      <c r="C14" s="589"/>
      <c r="F14" s="21"/>
      <c r="G14" s="21"/>
      <c r="H14" s="21"/>
    </row>
    <row r="15" spans="1:9" ht="18.75">
      <c r="A15" s="20" t="s">
        <v>65</v>
      </c>
      <c r="B15" s="590">
        <f>+F10</f>
        <v>11075</v>
      </c>
      <c r="C15" s="591"/>
    </row>
    <row r="16" spans="1:9" ht="18.75">
      <c r="A16" s="20" t="s">
        <v>63</v>
      </c>
      <c r="B16" s="581">
        <f>+B14/B15</f>
        <v>875.91544186004512</v>
      </c>
      <c r="C16" s="582"/>
    </row>
    <row r="17" spans="1:8">
      <c r="H17" s="22"/>
    </row>
    <row r="18" spans="1:8" ht="21">
      <c r="A18" s="585">
        <f>+B16</f>
        <v>875.91544186004512</v>
      </c>
      <c r="B18" s="1" t="s">
        <v>56</v>
      </c>
      <c r="C18" s="33">
        <f>+B9</f>
        <v>0.58690744920993232</v>
      </c>
      <c r="D18" s="87">
        <f>+$A$18*C18</f>
        <v>514.08129770566984</v>
      </c>
      <c r="F18" s="23"/>
      <c r="G18" s="23"/>
      <c r="H18" s="24"/>
    </row>
    <row r="19" spans="1:8" ht="15.75">
      <c r="A19" s="586"/>
      <c r="B19" s="1" t="s">
        <v>55</v>
      </c>
      <c r="C19" s="33">
        <f>+C9</f>
        <v>0.25282167042889392</v>
      </c>
      <c r="D19" s="87">
        <f t="shared" ref="D19:D26" si="3">+$A$18*C19</f>
        <v>221.45040516551933</v>
      </c>
    </row>
    <row r="20" spans="1:8" ht="15.75">
      <c r="A20" s="586"/>
      <c r="B20" s="1" t="s">
        <v>57</v>
      </c>
      <c r="C20" s="33">
        <f>+D9</f>
        <v>8.1264108352144468E-2</v>
      </c>
      <c r="D20" s="87">
        <f t="shared" si="3"/>
        <v>71.180487374631198</v>
      </c>
    </row>
    <row r="21" spans="1:8" ht="15.75">
      <c r="A21" s="586"/>
      <c r="B21" s="1" t="s">
        <v>58</v>
      </c>
      <c r="C21" s="33">
        <f>+E9</f>
        <v>2.7088036117381489E-2</v>
      </c>
      <c r="D21" s="87">
        <f t="shared" si="3"/>
        <v>23.726829124877067</v>
      </c>
    </row>
    <row r="22" spans="1:8" ht="15.75">
      <c r="A22" s="586"/>
      <c r="B22" s="1" t="s">
        <v>59</v>
      </c>
      <c r="C22" s="33">
        <f>+F9</f>
        <v>2.2573363431151242E-2</v>
      </c>
      <c r="D22" s="87">
        <f t="shared" si="3"/>
        <v>19.772357604064226</v>
      </c>
    </row>
    <row r="23" spans="1:8" ht="15.75">
      <c r="A23" s="586"/>
      <c r="B23" s="1" t="s">
        <v>60</v>
      </c>
      <c r="C23" s="33">
        <f>+G9</f>
        <v>1.8058690744920992E-2</v>
      </c>
      <c r="D23" s="87">
        <f t="shared" si="3"/>
        <v>15.817886083251377</v>
      </c>
    </row>
    <row r="24" spans="1:8" ht="15.75">
      <c r="A24" s="586"/>
      <c r="B24" s="1" t="s">
        <v>61</v>
      </c>
      <c r="C24" s="33">
        <f>+H9</f>
        <v>1.1286681715575621E-2</v>
      </c>
      <c r="D24" s="87">
        <f t="shared" si="3"/>
        <v>9.8861788020321129</v>
      </c>
    </row>
    <row r="25" spans="1:8" ht="15.75">
      <c r="A25" s="586"/>
      <c r="B25" s="1"/>
      <c r="C25" s="40"/>
      <c r="D25" s="87">
        <f t="shared" si="3"/>
        <v>0</v>
      </c>
    </row>
    <row r="26" spans="1:8" ht="15.75">
      <c r="A26" s="586"/>
      <c r="B26" s="1"/>
      <c r="C26" s="40"/>
      <c r="D26" s="87">
        <f t="shared" si="3"/>
        <v>0</v>
      </c>
    </row>
    <row r="27" spans="1:8" ht="15.75">
      <c r="A27" s="587"/>
      <c r="B27" s="9"/>
      <c r="C27" s="102">
        <f>SUM(C18:C26)</f>
        <v>1</v>
      </c>
      <c r="D27" s="87"/>
    </row>
    <row r="28" spans="1:8" ht="21">
      <c r="A28" s="584" t="s">
        <v>64</v>
      </c>
      <c r="B28" s="584"/>
      <c r="C28" s="584"/>
      <c r="D28" s="41">
        <f>SUM(D18:D27)</f>
        <v>875.91544186004512</v>
      </c>
    </row>
    <row r="30" spans="1:8" ht="15.75">
      <c r="B30" s="592" t="s">
        <v>69</v>
      </c>
      <c r="C30" s="592"/>
      <c r="D30" s="592"/>
      <c r="E30" s="592"/>
    </row>
    <row r="31" spans="1:8" ht="15.75">
      <c r="B31" s="35" t="s">
        <v>72</v>
      </c>
      <c r="C31" s="35" t="s">
        <v>71</v>
      </c>
      <c r="D31" s="35" t="s">
        <v>67</v>
      </c>
      <c r="E31" s="35" t="s">
        <v>70</v>
      </c>
    </row>
    <row r="32" spans="1:8" ht="15.75">
      <c r="B32" s="25" t="s">
        <v>56</v>
      </c>
      <c r="C32" s="34">
        <f>+D18</f>
        <v>514.08129770566984</v>
      </c>
      <c r="D32" s="26">
        <f>+B4</f>
        <v>20000</v>
      </c>
      <c r="E32" s="26">
        <f>+C32*D32</f>
        <v>10281625.954113396</v>
      </c>
    </row>
    <row r="33" spans="2:5" ht="15.75">
      <c r="B33" s="25" t="s">
        <v>55</v>
      </c>
      <c r="C33" s="34">
        <f t="shared" ref="C33:C38" si="4">+D19</f>
        <v>221.45040516551933</v>
      </c>
      <c r="D33" s="26">
        <f>+C4</f>
        <v>22000</v>
      </c>
      <c r="E33" s="26">
        <f t="shared" ref="E33:E38" si="5">+C33*D33</f>
        <v>4871908.9136414248</v>
      </c>
    </row>
    <row r="34" spans="2:5" ht="15.75">
      <c r="B34" s="25" t="s">
        <v>57</v>
      </c>
      <c r="C34" s="34">
        <f t="shared" si="4"/>
        <v>71.180487374631198</v>
      </c>
      <c r="D34" s="26">
        <f>+D4</f>
        <v>15000</v>
      </c>
      <c r="E34" s="26">
        <f t="shared" si="5"/>
        <v>1067707.3106194679</v>
      </c>
    </row>
    <row r="35" spans="2:5" ht="15.75">
      <c r="B35" s="25" t="s">
        <v>58</v>
      </c>
      <c r="C35" s="34">
        <f t="shared" si="4"/>
        <v>23.726829124877067</v>
      </c>
      <c r="D35" s="26">
        <f>+E4</f>
        <v>11000</v>
      </c>
      <c r="E35" s="26">
        <f t="shared" si="5"/>
        <v>260995.12037364775</v>
      </c>
    </row>
    <row r="36" spans="2:5" ht="15.75">
      <c r="B36" s="25" t="s">
        <v>59</v>
      </c>
      <c r="C36" s="34">
        <f t="shared" si="4"/>
        <v>19.772357604064226</v>
      </c>
      <c r="D36" s="26">
        <f>+F4</f>
        <v>9000</v>
      </c>
      <c r="E36" s="26">
        <f t="shared" si="5"/>
        <v>177951.21843657803</v>
      </c>
    </row>
    <row r="37" spans="2:5" ht="15.75">
      <c r="B37" s="25" t="s">
        <v>60</v>
      </c>
      <c r="C37" s="34">
        <f t="shared" si="4"/>
        <v>15.817886083251377</v>
      </c>
      <c r="D37" s="26">
        <f>+G4</f>
        <v>6000</v>
      </c>
      <c r="E37" s="26">
        <f t="shared" si="5"/>
        <v>94907.316499508262</v>
      </c>
    </row>
    <row r="38" spans="2:5" ht="15.75">
      <c r="B38" s="25" t="s">
        <v>61</v>
      </c>
      <c r="C38" s="34">
        <f t="shared" si="4"/>
        <v>9.8861788020321129</v>
      </c>
      <c r="D38" s="26">
        <f>+H4</f>
        <v>4000</v>
      </c>
      <c r="E38" s="26">
        <f t="shared" si="5"/>
        <v>39544.715208128451</v>
      </c>
    </row>
    <row r="39" spans="2:5" ht="18.75">
      <c r="B39" s="584" t="s">
        <v>73</v>
      </c>
      <c r="C39" s="584"/>
      <c r="D39" s="584"/>
      <c r="E39" s="27">
        <f>SUM(E32:E38)</f>
        <v>16794640.548892152</v>
      </c>
    </row>
    <row r="40" spans="2:5" ht="18.75">
      <c r="B40" s="595"/>
      <c r="C40" s="596"/>
      <c r="D40" s="596"/>
      <c r="E40" s="597"/>
    </row>
    <row r="41" spans="2:5" ht="15.75">
      <c r="B41" s="592" t="s">
        <v>74</v>
      </c>
      <c r="C41" s="592"/>
      <c r="D41" s="592"/>
      <c r="E41" s="592"/>
    </row>
    <row r="42" spans="2:5" ht="15.75">
      <c r="B42" s="35" t="s">
        <v>72</v>
      </c>
      <c r="C42" s="35" t="s">
        <v>71</v>
      </c>
      <c r="D42" s="35" t="s">
        <v>67</v>
      </c>
      <c r="E42" s="35" t="s">
        <v>79</v>
      </c>
    </row>
    <row r="43" spans="2:5" ht="15.75">
      <c r="B43" s="25" t="s">
        <v>56</v>
      </c>
      <c r="C43" s="34">
        <f>+C32</f>
        <v>514.08129770566984</v>
      </c>
      <c r="D43" s="26">
        <f>+B5</f>
        <v>7000</v>
      </c>
      <c r="E43" s="26">
        <f>+C43*D43</f>
        <v>3598569.0839396887</v>
      </c>
    </row>
    <row r="44" spans="2:5" ht="15.75">
      <c r="B44" s="25" t="s">
        <v>55</v>
      </c>
      <c r="C44" s="34">
        <f t="shared" ref="C44:C49" si="6">+C33</f>
        <v>221.45040516551933</v>
      </c>
      <c r="D44" s="26">
        <f>+C5</f>
        <v>8000</v>
      </c>
      <c r="E44" s="26">
        <f t="shared" ref="E44:E49" si="7">+C44*D44</f>
        <v>1771603.2413241547</v>
      </c>
    </row>
    <row r="45" spans="2:5" ht="15.75">
      <c r="B45" s="25" t="s">
        <v>57</v>
      </c>
      <c r="C45" s="34">
        <f t="shared" si="6"/>
        <v>71.180487374631198</v>
      </c>
      <c r="D45" s="26">
        <f>+D5</f>
        <v>6000</v>
      </c>
      <c r="E45" s="26">
        <f t="shared" si="7"/>
        <v>427082.92424778722</v>
      </c>
    </row>
    <row r="46" spans="2:5" ht="15.75">
      <c r="B46" s="25" t="s">
        <v>58</v>
      </c>
      <c r="C46" s="34">
        <f t="shared" si="6"/>
        <v>23.726829124877067</v>
      </c>
      <c r="D46" s="26">
        <f>+E5</f>
        <v>5000</v>
      </c>
      <c r="E46" s="26">
        <f t="shared" si="7"/>
        <v>118634.14562438533</v>
      </c>
    </row>
    <row r="47" spans="2:5" ht="15.75">
      <c r="B47" s="25" t="s">
        <v>59</v>
      </c>
      <c r="C47" s="34">
        <f t="shared" si="6"/>
        <v>19.772357604064226</v>
      </c>
      <c r="D47" s="26">
        <f>+F5</f>
        <v>4000</v>
      </c>
      <c r="E47" s="26">
        <f t="shared" si="7"/>
        <v>79089.430416256902</v>
      </c>
    </row>
    <row r="48" spans="2:5" ht="15.75">
      <c r="B48" s="25" t="s">
        <v>60</v>
      </c>
      <c r="C48" s="34">
        <f t="shared" si="6"/>
        <v>15.817886083251377</v>
      </c>
      <c r="D48" s="26">
        <f>+G5</f>
        <v>2000</v>
      </c>
      <c r="E48" s="26">
        <f t="shared" si="7"/>
        <v>31635.772166502753</v>
      </c>
    </row>
    <row r="49" spans="2:5" ht="15.75">
      <c r="B49" s="25" t="s">
        <v>61</v>
      </c>
      <c r="C49" s="34">
        <f t="shared" si="6"/>
        <v>9.8861788020321129</v>
      </c>
      <c r="D49" s="26">
        <f>+H5</f>
        <v>1500</v>
      </c>
      <c r="E49" s="26">
        <f t="shared" si="7"/>
        <v>14829.26820304817</v>
      </c>
    </row>
    <row r="50" spans="2:5" ht="18.75">
      <c r="B50" s="584" t="s">
        <v>82</v>
      </c>
      <c r="C50" s="584"/>
      <c r="D50" s="584"/>
      <c r="E50" s="27">
        <f>SUM(E43:E49)</f>
        <v>6041443.8659218233</v>
      </c>
    </row>
    <row r="52" spans="2:5" ht="18.75">
      <c r="B52" s="593" t="s">
        <v>75</v>
      </c>
      <c r="C52" s="593"/>
      <c r="D52" s="593"/>
      <c r="E52" s="593"/>
    </row>
    <row r="53" spans="2:5" ht="18.75">
      <c r="B53" s="1" t="s">
        <v>76</v>
      </c>
      <c r="C53" s="1"/>
      <c r="D53" s="1"/>
      <c r="E53" s="28">
        <f>+E39</f>
        <v>16794640.548892152</v>
      </c>
    </row>
    <row r="54" spans="2:5" ht="18.75">
      <c r="B54" s="1" t="s">
        <v>77</v>
      </c>
      <c r="C54" s="1"/>
      <c r="D54" s="1"/>
      <c r="E54" s="28">
        <f>+B14</f>
        <v>9700763.5186000001</v>
      </c>
    </row>
    <row r="55" spans="2:5" ht="18.75">
      <c r="B55" s="1" t="s">
        <v>78</v>
      </c>
      <c r="C55" s="1"/>
      <c r="D55" s="1"/>
      <c r="E55" s="28">
        <f>+E50</f>
        <v>6041443.8659218233</v>
      </c>
    </row>
    <row r="56" spans="2:5" ht="21">
      <c r="B56" s="594" t="s">
        <v>80</v>
      </c>
      <c r="C56" s="594"/>
      <c r="D56" s="594"/>
      <c r="E56" s="29">
        <f>+E53-E54-E55</f>
        <v>1052433.1643703282</v>
      </c>
    </row>
  </sheetData>
  <mergeCells count="15">
    <mergeCell ref="B41:E41"/>
    <mergeCell ref="B50:D50"/>
    <mergeCell ref="B52:E52"/>
    <mergeCell ref="B56:D56"/>
    <mergeCell ref="A28:C28"/>
    <mergeCell ref="B40:E40"/>
    <mergeCell ref="B39:D39"/>
    <mergeCell ref="B30:E30"/>
    <mergeCell ref="A1:H1"/>
    <mergeCell ref="B16:C16"/>
    <mergeCell ref="F10:H10"/>
    <mergeCell ref="A10:E10"/>
    <mergeCell ref="A18:A27"/>
    <mergeCell ref="B14:C14"/>
    <mergeCell ref="B15:C15"/>
  </mergeCells>
  <pageMargins left="0.70866141732283472" right="0.70866141732283472" top="1.0900000000000001" bottom="0.74803149606299213" header="0.31496062992125984" footer="0.31496062992125984"/>
  <pageSetup paperSize="2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Receta Estandar</vt:lpstr>
      <vt:lpstr>Receta Estandar Principal</vt:lpstr>
      <vt:lpstr>R. E. C 1</vt:lpstr>
      <vt:lpstr>R. E. C 2</vt:lpstr>
      <vt:lpstr>R. E. C  3</vt:lpstr>
      <vt:lpstr>R. E. C  4</vt:lpstr>
      <vt:lpstr>R. E. C  5</vt:lpstr>
      <vt:lpstr>R. E. C  6</vt:lpstr>
      <vt:lpstr>R. E. C  7</vt:lpstr>
      <vt:lpstr>Mano de obra</vt:lpstr>
      <vt:lpstr>CIS</vt:lpstr>
      <vt:lpstr>Resumen</vt:lpstr>
      <vt:lpstr>PUNTO DE EQUILIBRIO</vt:lpstr>
      <vt:lpstr>Utilidad Proyectada</vt:lpstr>
      <vt:lpstr>VARIOS pRODUCTOS</vt:lpstr>
    </vt:vector>
  </TitlesOfParts>
  <Company>Hogar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Omega</dc:creator>
  <cp:lastModifiedBy>desarrollo</cp:lastModifiedBy>
  <cp:lastPrinted>2014-11-13T16:42:09Z</cp:lastPrinted>
  <dcterms:created xsi:type="dcterms:W3CDTF">2008-11-19T13:23:06Z</dcterms:created>
  <dcterms:modified xsi:type="dcterms:W3CDTF">2026-05-12T12:39:08Z</dcterms:modified>
</cp:coreProperties>
</file>