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sarrollo\Downloads\"/>
    </mc:Choice>
  </mc:AlternateContent>
  <xr:revisionPtr revIDLastSave="0" documentId="8_{7E023035-7BC0-49EE-9E7B-613D555A35C0}" xr6:coauthVersionLast="36" xr6:coauthVersionMax="36" xr10:uidLastSave="{00000000-0000-0000-0000-000000000000}"/>
  <bookViews>
    <workbookView xWindow="-120" yWindow="-120" windowWidth="19320" windowHeight="6570" xr2:uid="{00000000-000D-0000-FFFF-FFFF00000000}"/>
  </bookViews>
  <sheets>
    <sheet name="PLANILLA NOMINA" sheetId="1" r:id="rId1"/>
    <sheet name="HORAS EXTRAS Y RECARGOS" sheetId="3" r:id="rId2"/>
    <sheet name="Hoja2" sheetId="5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5" i="1" l="1"/>
  <c r="F25" i="1" l="1"/>
  <c r="F23" i="1"/>
  <c r="F22" i="1"/>
  <c r="C28" i="1"/>
  <c r="C25" i="1"/>
  <c r="I12" i="1"/>
  <c r="C27" i="1" s="1"/>
  <c r="N11" i="1"/>
  <c r="N10" i="1"/>
  <c r="H9" i="1"/>
  <c r="I8" i="1"/>
  <c r="L7" i="1"/>
  <c r="I6" i="1"/>
  <c r="R13" i="1" l="1"/>
  <c r="R14" i="1"/>
  <c r="R15" i="1"/>
  <c r="Q11" i="1"/>
  <c r="R11" i="1" s="1"/>
  <c r="Q13" i="1"/>
  <c r="Q14" i="1"/>
  <c r="Q15" i="1"/>
  <c r="Q6" i="1"/>
  <c r="L9" i="1"/>
  <c r="L11" i="1"/>
  <c r="L13" i="1"/>
  <c r="L14" i="1"/>
  <c r="L15" i="1"/>
  <c r="L6" i="1"/>
  <c r="K6" i="1" l="1"/>
  <c r="K9" i="1"/>
  <c r="Q9" i="1" s="1"/>
  <c r="K11" i="1"/>
  <c r="K13" i="1"/>
  <c r="K14" i="1"/>
  <c r="K15" i="1"/>
  <c r="J9" i="1" l="1"/>
  <c r="R9" i="1" s="1"/>
  <c r="J11" i="1"/>
  <c r="J13" i="1"/>
  <c r="J14" i="1"/>
  <c r="J15" i="1"/>
  <c r="G9" i="1"/>
  <c r="G11" i="1"/>
  <c r="G13" i="1"/>
  <c r="G14" i="1"/>
  <c r="G15" i="1"/>
  <c r="N7" i="3"/>
  <c r="N8" i="3"/>
  <c r="N9" i="3"/>
  <c r="N10" i="3"/>
  <c r="N11" i="3"/>
  <c r="N13" i="3"/>
  <c r="N14" i="3"/>
  <c r="N15" i="3"/>
  <c r="N6" i="3"/>
  <c r="K7" i="3"/>
  <c r="K8" i="3"/>
  <c r="K9" i="3"/>
  <c r="K10" i="3"/>
  <c r="K11" i="3"/>
  <c r="K13" i="3"/>
  <c r="K14" i="3"/>
  <c r="K15" i="3"/>
  <c r="K6" i="3"/>
  <c r="H7" i="3"/>
  <c r="H8" i="3"/>
  <c r="H9" i="3"/>
  <c r="H10" i="3"/>
  <c r="H11" i="3"/>
  <c r="H13" i="3"/>
  <c r="H14" i="3"/>
  <c r="H15" i="3"/>
  <c r="H6" i="3"/>
  <c r="E6" i="3"/>
  <c r="E7" i="3"/>
  <c r="E8" i="3"/>
  <c r="E9" i="3"/>
  <c r="E10" i="3"/>
  <c r="E11" i="3"/>
  <c r="E13" i="3"/>
  <c r="E14" i="3"/>
  <c r="E15" i="3"/>
  <c r="B7" i="3" l="1"/>
  <c r="B8" i="3"/>
  <c r="B9" i="3"/>
  <c r="B10" i="3"/>
  <c r="B11" i="3"/>
  <c r="B12" i="3"/>
  <c r="B13" i="3"/>
  <c r="B14" i="3"/>
  <c r="B15" i="3"/>
  <c r="B6" i="3"/>
  <c r="A7" i="3"/>
  <c r="A8" i="3"/>
  <c r="A9" i="3"/>
  <c r="A10" i="3"/>
  <c r="A11" i="3"/>
  <c r="A12" i="3"/>
  <c r="A13" i="3"/>
  <c r="A14" i="3"/>
  <c r="A15" i="3"/>
  <c r="A6" i="3"/>
  <c r="F6" i="1"/>
  <c r="D7" i="1"/>
  <c r="E7" i="1" s="1"/>
  <c r="F7" i="1"/>
  <c r="F8" i="1"/>
  <c r="F9" i="1"/>
  <c r="F10" i="1"/>
  <c r="F11" i="1"/>
  <c r="F12" i="1"/>
  <c r="F13" i="1"/>
  <c r="F14" i="1"/>
  <c r="F15" i="1"/>
  <c r="E12" i="1"/>
  <c r="E13" i="1"/>
  <c r="E14" i="1"/>
  <c r="E15" i="1"/>
  <c r="E8" i="1"/>
  <c r="E9" i="1"/>
  <c r="E10" i="1"/>
  <c r="E11" i="1"/>
  <c r="E6" i="1"/>
  <c r="D9" i="1"/>
  <c r="D10" i="1"/>
  <c r="D11" i="1"/>
  <c r="P2" i="1"/>
  <c r="E12" i="3" l="1"/>
  <c r="H12" i="3"/>
  <c r="K12" i="3"/>
  <c r="N12" i="3"/>
  <c r="J6" i="1"/>
  <c r="R6" i="1" s="1"/>
  <c r="H16" i="1"/>
  <c r="M16" i="1"/>
  <c r="N16" i="1"/>
  <c r="O16" i="1"/>
  <c r="P16" i="1"/>
  <c r="F27" i="1" s="1"/>
  <c r="C16" i="1"/>
  <c r="O23" i="1" l="1"/>
  <c r="E16" i="1"/>
  <c r="C20" i="1" s="1"/>
  <c r="I16" i="1"/>
  <c r="F16" i="1"/>
  <c r="C21" i="1" s="1"/>
  <c r="E5" i="1"/>
  <c r="Q6" i="3" l="1"/>
  <c r="W6" i="3"/>
  <c r="T6" i="3"/>
  <c r="Q9" i="3"/>
  <c r="W9" i="3"/>
  <c r="T9" i="3"/>
  <c r="Q8" i="3"/>
  <c r="W8" i="3"/>
  <c r="T8" i="3"/>
  <c r="Q7" i="3"/>
  <c r="T7" i="3"/>
  <c r="W7" i="3"/>
  <c r="X6" i="3" l="1"/>
  <c r="G6" i="1" s="1"/>
  <c r="X9" i="3"/>
  <c r="X8" i="3"/>
  <c r="G8" i="1" s="1"/>
  <c r="X7" i="3"/>
  <c r="G7" i="1" s="1"/>
  <c r="T11" i="3"/>
  <c r="Q11" i="3"/>
  <c r="W11" i="3"/>
  <c r="Q10" i="3"/>
  <c r="W10" i="3"/>
  <c r="T10" i="3"/>
  <c r="T12" i="3"/>
  <c r="Q12" i="3"/>
  <c r="W12" i="3"/>
  <c r="T15" i="3"/>
  <c r="W15" i="3"/>
  <c r="Q15" i="3"/>
  <c r="W14" i="3"/>
  <c r="T14" i="3"/>
  <c r="Q14" i="3"/>
  <c r="T13" i="3"/>
  <c r="Q13" i="3"/>
  <c r="W13" i="3"/>
  <c r="L8" i="1" l="1"/>
  <c r="K8" i="1"/>
  <c r="Q8" i="1" s="1"/>
  <c r="J8" i="1"/>
  <c r="K7" i="1"/>
  <c r="J7" i="1"/>
  <c r="X13" i="3"/>
  <c r="X14" i="3"/>
  <c r="X15" i="3"/>
  <c r="X12" i="3"/>
  <c r="G12" i="1" s="1"/>
  <c r="X11" i="3"/>
  <c r="X10" i="3"/>
  <c r="G10" i="1" s="1"/>
  <c r="Q16" i="3"/>
  <c r="T16" i="3"/>
  <c r="H16" i="3"/>
  <c r="N16" i="3"/>
  <c r="W16" i="3"/>
  <c r="C24" i="1" s="1"/>
  <c r="K16" i="3"/>
  <c r="E16" i="3"/>
  <c r="C22" i="1" l="1"/>
  <c r="L12" i="1"/>
  <c r="K12" i="1"/>
  <c r="Q12" i="1" s="1"/>
  <c r="J12" i="1"/>
  <c r="R12" i="1" s="1"/>
  <c r="C23" i="1"/>
  <c r="L10" i="1"/>
  <c r="L16" i="1" s="1"/>
  <c r="F21" i="1" s="1"/>
  <c r="K10" i="1"/>
  <c r="Q10" i="1" s="1"/>
  <c r="R10" i="1" s="1"/>
  <c r="J10" i="1"/>
  <c r="R8" i="1"/>
  <c r="Q7" i="1"/>
  <c r="R7" i="1" s="1"/>
  <c r="G16" i="1"/>
  <c r="X16" i="3"/>
  <c r="K22" i="1" l="1"/>
  <c r="K20" i="1"/>
  <c r="K23" i="1"/>
  <c r="K24" i="1"/>
  <c r="K21" i="1"/>
  <c r="O20" i="1"/>
  <c r="O22" i="1"/>
  <c r="O21" i="1"/>
  <c r="C30" i="1"/>
  <c r="J16" i="1"/>
  <c r="K16" i="1"/>
  <c r="F20" i="1" s="1"/>
  <c r="Q16" i="1"/>
  <c r="F30" i="1" l="1"/>
  <c r="K30" i="1"/>
  <c r="O30" i="1"/>
  <c r="R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desarrollo</author>
  </authors>
  <commentList>
    <comment ref="I6" authorId="0" shapeId="0" xr:uid="{E86D38B3-A4B7-48DE-B81A-D39D6F6D2312}">
      <text>
        <r>
          <rPr>
            <b/>
            <sz val="9"/>
            <color indexed="81"/>
            <rFont val="Tahoma"/>
            <charset val="1"/>
          </rPr>
          <t>desarrollo:Incapacidad EPS</t>
        </r>
      </text>
    </comment>
    <comment ref="I8" authorId="0" shapeId="0" xr:uid="{B5D53AF5-FE10-453A-9E80-CBFD73F2E3AF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Incapacidad ARL</t>
        </r>
      </text>
    </comment>
    <comment ref="I9" authorId="0" shapeId="0" xr:uid="{0A409177-79E9-4E8C-B147-CEC61326DCE8}">
      <text>
        <r>
          <rPr>
            <b/>
            <sz val="9"/>
            <color indexed="81"/>
            <rFont val="Tahoma"/>
            <charset val="1"/>
          </rPr>
          <t>desarrollo:</t>
        </r>
        <r>
          <rPr>
            <sz val="9"/>
            <color indexed="81"/>
            <rFont val="Tahoma"/>
            <charset val="1"/>
          </rPr>
          <t xml:space="preserve">
Aux rodamiento</t>
        </r>
      </text>
    </comment>
  </commentList>
</comments>
</file>

<file path=xl/sharedStrings.xml><?xml version="1.0" encoding="utf-8"?>
<sst xmlns="http://schemas.openxmlformats.org/spreadsheetml/2006/main" count="117" uniqueCount="85">
  <si>
    <t>PLANILLA PARA EL PAGO DE NÓMINA</t>
  </si>
  <si>
    <t>Forma de Pago</t>
  </si>
  <si>
    <t>Fecha de Elaboración</t>
  </si>
  <si>
    <t>DATOS BÁSICOS DE NÓMINA</t>
  </si>
  <si>
    <t>DEVENGADOS DE NÓMINA</t>
  </si>
  <si>
    <t>DEDUCCIONES</t>
  </si>
  <si>
    <t>TOTAL NETO A PAGAR</t>
  </si>
  <si>
    <t>EMPLEADO</t>
  </si>
  <si>
    <t>BASICO MES</t>
  </si>
  <si>
    <t>DIAS TRAB.</t>
  </si>
  <si>
    <t>TOTAL DEVENGADO</t>
  </si>
  <si>
    <t xml:space="preserve">SALARIO BÁSICO </t>
  </si>
  <si>
    <t>EPS</t>
  </si>
  <si>
    <t>AFP</t>
  </si>
  <si>
    <t>PRESTAMOS</t>
  </si>
  <si>
    <t xml:space="preserve">EMBARGOS </t>
  </si>
  <si>
    <t>TOTAL DEDUCCIONES</t>
  </si>
  <si>
    <t>TOTALES</t>
  </si>
  <si>
    <t>CONCEPTO</t>
  </si>
  <si>
    <t>VALOR</t>
  </si>
  <si>
    <t>%</t>
  </si>
  <si>
    <t xml:space="preserve">CONCEPTO </t>
  </si>
  <si>
    <t>TOTAL DEVENGADOS</t>
  </si>
  <si>
    <t>Elaborado por:</t>
  </si>
  <si>
    <t>Revisado por:</t>
  </si>
  <si>
    <t>AUXILIO DE TRANSP</t>
  </si>
  <si>
    <t>HORAS EXTRAS D/N/F</t>
  </si>
  <si>
    <t>REC. NOCTURNO</t>
  </si>
  <si>
    <t>REC. FESTIVO</t>
  </si>
  <si>
    <t>EMBARGOS</t>
  </si>
  <si>
    <t>COOPERATIVAS</t>
  </si>
  <si>
    <t>OTRAS DEDUCC.</t>
  </si>
  <si>
    <t>SENA</t>
  </si>
  <si>
    <t>ICBF</t>
  </si>
  <si>
    <t>PRIMA</t>
  </si>
  <si>
    <t>CESANTIAS</t>
  </si>
  <si>
    <t>VACACIONES</t>
  </si>
  <si>
    <t xml:space="preserve">CANTIDAD </t>
  </si>
  <si>
    <t xml:space="preserve">FACTOR </t>
  </si>
  <si>
    <t>TOTAL</t>
  </si>
  <si>
    <t>HED</t>
  </si>
  <si>
    <t>HEN</t>
  </si>
  <si>
    <t>HRN</t>
  </si>
  <si>
    <t>HED-DF</t>
  </si>
  <si>
    <t>HEN-DF</t>
  </si>
  <si>
    <t>HRN-DF</t>
  </si>
  <si>
    <t>HRDF</t>
  </si>
  <si>
    <t>TOTAL GENERAL</t>
  </si>
  <si>
    <t>ARL</t>
  </si>
  <si>
    <t>FONDO DE EMPL.</t>
  </si>
  <si>
    <t>INT. CES.</t>
  </si>
  <si>
    <t>CAJA DE COMPENS.</t>
  </si>
  <si>
    <t>TOTAL DEDUCC.</t>
  </si>
  <si>
    <t>TOTAL APORTES EMPLEADOR</t>
  </si>
  <si>
    <t>TOTAL PROVISIONES</t>
  </si>
  <si>
    <t xml:space="preserve">Horas trabajadas al mes </t>
  </si>
  <si>
    <t>BASICO MENSUAL</t>
  </si>
  <si>
    <t>FONDO DE EMPLEADOS Y  COOP.</t>
  </si>
  <si>
    <t>COMISIONES</t>
  </si>
  <si>
    <t>INCAPACIDADES</t>
  </si>
  <si>
    <t>AUXILIOS</t>
  </si>
  <si>
    <t>OTROS DEVENGADOS</t>
  </si>
  <si>
    <t>NOMBRES Y APELLIDOS</t>
  </si>
  <si>
    <t>OTROS PAGOS LABORALES</t>
  </si>
  <si>
    <t>AUXILIO DE TRANSPORTE</t>
  </si>
  <si>
    <t>ITEM</t>
  </si>
  <si>
    <t>BASICO QUINCENAL</t>
  </si>
  <si>
    <t xml:space="preserve">DEVENGADOS </t>
  </si>
  <si>
    <t>PROVISIONES PRESTACIONES SOCIALES</t>
  </si>
  <si>
    <t>Período de Pago  a liquidar</t>
  </si>
  <si>
    <t>PÓLIZA EXEQUIAL</t>
  </si>
  <si>
    <t>Aportante con exención de Parafiscales y Salud</t>
  </si>
  <si>
    <t>OTROS PAGOS NO LABORALES</t>
  </si>
  <si>
    <t>Quincenal</t>
  </si>
  <si>
    <t>Salario minimo mensual año 2025</t>
  </si>
  <si>
    <t>Auxilio de transporte año 2025</t>
  </si>
  <si>
    <t>1 al 15 de septiembre de 2025</t>
  </si>
  <si>
    <t>GABRIELA FORERO</t>
  </si>
  <si>
    <t>LUCIANA GALINDO</t>
  </si>
  <si>
    <t>RUPERTO BRAVO</t>
  </si>
  <si>
    <t>ROSITA GRANADA</t>
  </si>
  <si>
    <t>COVID ANDRES VAQUERO</t>
  </si>
  <si>
    <t>ARMANDO CASAS</t>
  </si>
  <si>
    <t>HORAS EXTRAS Y RECARGOS</t>
  </si>
  <si>
    <t>BONIFICACIONES NO LABORALES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</si>
</sst>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&quot;$&quot;\ #,##0"/>
    <numFmt numFmtId="167" formatCode="_(* #,##0_);_(* \(#,##0\);_(* &quot;-&quot;??_);_(@_)"/>
    <numFmt numFmtId="168" formatCode="_([$$-240A]\ * #,##0_);_([$$-240A]\ * \(#,##0\);_([$$-240A]\ * &quot;-&quot;??_);_(@_)"/>
    <numFmt numFmtId="169" formatCode="_(&quot;$&quot;\ * #,##0_);_(&quot;$&quot;\ * \(#,##0\);_(&quot;$&quot;\ * &quot;-&quot;??_);_(@_)"/>
    <numFmt numFmtId="170" formatCode="0.0%"/>
    <numFmt numFmtId="171" formatCode="0.000%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9FCD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gray0625">
        <bgColor theme="0"/>
      </patternFill>
    </fill>
    <fill>
      <patternFill patternType="gray0625">
        <bgColor theme="3" tint="0.79995117038483843"/>
      </patternFill>
    </fill>
    <fill>
      <patternFill patternType="gray0625">
        <bgColor theme="2" tint="-9.9978637043366805E-2"/>
      </patternFill>
    </fill>
    <fill>
      <patternFill patternType="gray0625">
        <bgColor rgb="FFFFFF00"/>
      </patternFill>
    </fill>
    <fill>
      <patternFill patternType="solid">
        <fgColor indexed="6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gray0625">
        <bgColor theme="4" tint="0.79998168889431442"/>
      </patternFill>
    </fill>
    <fill>
      <patternFill patternType="solid">
        <fgColor rgb="FF00B0F0"/>
        <bgColor indexed="64"/>
      </patternFill>
    </fill>
    <fill>
      <patternFill patternType="gray0625">
        <bgColor rgb="FF00B0F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gray0625">
        <bgColor theme="0" tint="-0.249977111117893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50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1" fillId="0" borderId="0" xfId="0" applyFont="1"/>
    <xf numFmtId="166" fontId="0" fillId="0" borderId="1" xfId="0" applyNumberFormat="1" applyBorder="1"/>
    <xf numFmtId="0" fontId="0" fillId="3" borderId="1" xfId="0" applyFill="1" applyBorder="1"/>
    <xf numFmtId="0" fontId="1" fillId="3" borderId="1" xfId="0" applyFont="1" applyFill="1" applyBorder="1" applyAlignment="1">
      <alignment horizontal="center"/>
    </xf>
    <xf numFmtId="167" fontId="0" fillId="3" borderId="1" xfId="1" applyNumberFormat="1" applyFont="1" applyFill="1" applyBorder="1"/>
    <xf numFmtId="0" fontId="1" fillId="7" borderId="1" xfId="0" applyFont="1" applyFill="1" applyBorder="1" applyAlignment="1">
      <alignment horizontal="center"/>
    </xf>
    <xf numFmtId="0" fontId="0" fillId="7" borderId="1" xfId="0" applyFill="1" applyBorder="1"/>
    <xf numFmtId="167" fontId="0" fillId="7" borderId="1" xfId="1" applyNumberFormat="1" applyFont="1" applyFill="1" applyBorder="1"/>
    <xf numFmtId="167" fontId="0" fillId="2" borderId="1" xfId="0" applyNumberFormat="1" applyFill="1" applyBorder="1"/>
    <xf numFmtId="167" fontId="0" fillId="5" borderId="1" xfId="0" applyNumberFormat="1" applyFill="1" applyBorder="1"/>
    <xf numFmtId="167" fontId="0" fillId="6" borderId="1" xfId="0" applyNumberFormat="1" applyFill="1" applyBorder="1"/>
    <xf numFmtId="166" fontId="0" fillId="2" borderId="1" xfId="0" applyNumberFormat="1" applyFill="1" applyBorder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0" fillId="4" borderId="0" xfId="0" applyFill="1" applyProtection="1">
      <protection locked="0"/>
    </xf>
    <xf numFmtId="0" fontId="0" fillId="4" borderId="0" xfId="0" applyFill="1" applyAlignment="1" applyProtection="1">
      <alignment horizontal="center" vertical="center"/>
      <protection locked="0"/>
    </xf>
    <xf numFmtId="166" fontId="6" fillId="4" borderId="1" xfId="0" applyNumberFormat="1" applyFont="1" applyFill="1" applyBorder="1" applyAlignment="1" applyProtection="1">
      <alignment vertical="center"/>
      <protection locked="0"/>
    </xf>
    <xf numFmtId="167" fontId="6" fillId="4" borderId="1" xfId="1" applyNumberFormat="1" applyFont="1" applyFill="1" applyBorder="1" applyAlignment="1" applyProtection="1">
      <alignment vertical="center"/>
    </xf>
    <xf numFmtId="167" fontId="6" fillId="4" borderId="1" xfId="1" applyNumberFormat="1" applyFont="1" applyFill="1" applyBorder="1" applyAlignment="1" applyProtection="1">
      <alignment vertic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 vertical="center"/>
      <protection locked="0"/>
    </xf>
    <xf numFmtId="3" fontId="1" fillId="4" borderId="10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0" xfId="0" applyFont="1" applyFill="1" applyProtection="1">
      <protection locked="0"/>
    </xf>
    <xf numFmtId="168" fontId="0" fillId="4" borderId="0" xfId="0" applyNumberFormat="1" applyFill="1" applyProtection="1">
      <protection locked="0"/>
    </xf>
    <xf numFmtId="169" fontId="0" fillId="4" borderId="0" xfId="2" applyNumberFormat="1" applyFont="1" applyFill="1" applyProtection="1">
      <protection locked="0"/>
    </xf>
    <xf numFmtId="0" fontId="7" fillId="4" borderId="1" xfId="0" applyFont="1" applyFill="1" applyBorder="1" applyProtection="1">
      <protection locked="0"/>
    </xf>
    <xf numFmtId="10" fontId="7" fillId="4" borderId="1" xfId="0" applyNumberFormat="1" applyFont="1" applyFill="1" applyBorder="1" applyProtection="1">
      <protection locked="0"/>
    </xf>
    <xf numFmtId="9" fontId="7" fillId="4" borderId="1" xfId="0" applyNumberFormat="1" applyFont="1" applyFill="1" applyBorder="1" applyProtection="1">
      <protection locked="0"/>
    </xf>
    <xf numFmtId="169" fontId="7" fillId="4" borderId="1" xfId="2" applyNumberFormat="1" applyFont="1" applyFill="1" applyBorder="1" applyProtection="1">
      <protection locked="0"/>
    </xf>
    <xf numFmtId="0" fontId="6" fillId="8" borderId="1" xfId="0" applyFont="1" applyFill="1" applyBorder="1" applyAlignment="1" applyProtection="1">
      <alignment horizontal="center" vertical="center"/>
      <protection locked="0"/>
    </xf>
    <xf numFmtId="9" fontId="6" fillId="8" borderId="1" xfId="0" applyNumberFormat="1" applyFont="1" applyFill="1" applyBorder="1" applyAlignment="1" applyProtection="1">
      <alignment horizontal="center" vertical="center"/>
      <protection locked="0"/>
    </xf>
    <xf numFmtId="167" fontId="3" fillId="9" borderId="10" xfId="1" applyNumberFormat="1" applyFont="1" applyFill="1" applyBorder="1" applyAlignment="1" applyProtection="1">
      <alignment vertical="center"/>
    </xf>
    <xf numFmtId="167" fontId="6" fillId="9" borderId="1" xfId="1" applyNumberFormat="1" applyFont="1" applyFill="1" applyBorder="1" applyAlignment="1" applyProtection="1">
      <alignment vertical="center"/>
    </xf>
    <xf numFmtId="167" fontId="7" fillId="9" borderId="1" xfId="1" applyNumberFormat="1" applyFont="1" applyFill="1" applyBorder="1" applyAlignment="1" applyProtection="1">
      <alignment horizontal="center"/>
    </xf>
    <xf numFmtId="167" fontId="7" fillId="9" borderId="1" xfId="1" applyNumberFormat="1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 vertical="center"/>
      <protection locked="0"/>
    </xf>
    <xf numFmtId="167" fontId="6" fillId="11" borderId="1" xfId="0" applyNumberFormat="1" applyFont="1" applyFill="1" applyBorder="1" applyAlignment="1">
      <alignment vertical="center"/>
    </xf>
    <xf numFmtId="0" fontId="6" fillId="4" borderId="4" xfId="0" applyFont="1" applyFill="1" applyBorder="1" applyAlignment="1" applyProtection="1">
      <alignment vertical="center"/>
      <protection locked="0"/>
    </xf>
    <xf numFmtId="0" fontId="6" fillId="9" borderId="6" xfId="0" applyFont="1" applyFill="1" applyBorder="1" applyAlignment="1" applyProtection="1">
      <alignment horizontal="center" vertical="center" wrapText="1"/>
      <protection locked="0"/>
    </xf>
    <xf numFmtId="0" fontId="8" fillId="4" borderId="9" xfId="0" applyFont="1" applyFill="1" applyBorder="1" applyAlignment="1" applyProtection="1">
      <alignment horizontal="center"/>
      <protection locked="0"/>
    </xf>
    <xf numFmtId="167" fontId="0" fillId="4" borderId="0" xfId="0" applyNumberFormat="1" applyFill="1" applyProtection="1">
      <protection locked="0"/>
    </xf>
    <xf numFmtId="0" fontId="9" fillId="13" borderId="9" xfId="0" applyFont="1" applyFill="1" applyBorder="1" applyAlignment="1" applyProtection="1">
      <alignment vertical="center"/>
      <protection locked="0"/>
    </xf>
    <xf numFmtId="0" fontId="1" fillId="15" borderId="1" xfId="0" applyFont="1" applyFill="1" applyBorder="1" applyAlignment="1" applyProtection="1">
      <alignment horizontal="center" vertical="center"/>
      <protection locked="0"/>
    </xf>
    <xf numFmtId="167" fontId="6" fillId="14" borderId="1" xfId="1" applyNumberFormat="1" applyFont="1" applyFill="1" applyBorder="1" applyAlignment="1" applyProtection="1">
      <alignment vertical="center"/>
    </xf>
    <xf numFmtId="169" fontId="1" fillId="3" borderId="1" xfId="2" applyNumberFormat="1" applyFont="1" applyFill="1" applyBorder="1" applyAlignment="1" applyProtection="1">
      <alignment horizontal="center" vertical="center"/>
      <protection locked="0"/>
    </xf>
    <xf numFmtId="0" fontId="6" fillId="8" borderId="1" xfId="0" applyNumberFormat="1" applyFont="1" applyFill="1" applyBorder="1" applyAlignment="1" applyProtection="1">
      <alignment horizontal="center" vertical="center" wrapText="1"/>
      <protection locked="0"/>
    </xf>
    <xf numFmtId="167" fontId="7" fillId="9" borderId="1" xfId="1" applyNumberFormat="1" applyFont="1" applyFill="1" applyBorder="1" applyAlignment="1" applyProtection="1">
      <alignment horizontal="center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166" fontId="1" fillId="4" borderId="1" xfId="0" applyNumberFormat="1" applyFont="1" applyFill="1" applyBorder="1" applyAlignment="1" applyProtection="1">
      <alignment vertical="center"/>
      <protection locked="0"/>
    </xf>
    <xf numFmtId="166" fontId="1" fillId="12" borderId="1" xfId="0" applyNumberFormat="1" applyFont="1" applyFill="1" applyBorder="1" applyAlignment="1">
      <alignment horizontal="center" vertical="center"/>
    </xf>
    <xf numFmtId="9" fontId="7" fillId="17" borderId="1" xfId="2" applyNumberFormat="1" applyFont="1" applyFill="1" applyBorder="1" applyProtection="1">
      <protection locked="0"/>
    </xf>
    <xf numFmtId="170" fontId="7" fillId="17" borderId="1" xfId="2" applyNumberFormat="1" applyFont="1" applyFill="1" applyBorder="1" applyProtection="1">
      <protection locked="0"/>
    </xf>
    <xf numFmtId="9" fontId="7" fillId="4" borderId="1" xfId="3" applyFont="1" applyFill="1" applyBorder="1" applyProtection="1">
      <protection locked="0"/>
    </xf>
    <xf numFmtId="171" fontId="7" fillId="4" borderId="1" xfId="3" applyNumberFormat="1" applyFont="1" applyFill="1" applyBorder="1" applyProtection="1">
      <protection locked="0"/>
    </xf>
    <xf numFmtId="0" fontId="6" fillId="4" borderId="1" xfId="0" applyFont="1" applyFill="1" applyBorder="1" applyAlignment="1">
      <alignment horizontal="center" vertical="center"/>
    </xf>
    <xf numFmtId="167" fontId="7" fillId="9" borderId="1" xfId="1" applyNumberFormat="1" applyFont="1" applyFill="1" applyBorder="1" applyAlignment="1" applyProtection="1">
      <alignment horizontal="center"/>
    </xf>
    <xf numFmtId="0" fontId="0" fillId="3" borderId="1" xfId="0" applyFill="1" applyBorder="1" applyAlignment="1">
      <alignment horizontal="center"/>
    </xf>
    <xf numFmtId="0" fontId="1" fillId="20" borderId="1" xfId="0" applyFont="1" applyFill="1" applyBorder="1" applyAlignment="1" applyProtection="1">
      <alignment horizontal="center" vertical="center"/>
      <protection locked="0"/>
    </xf>
    <xf numFmtId="0" fontId="7" fillId="20" borderId="1" xfId="0" applyFont="1" applyFill="1" applyBorder="1" applyProtection="1">
      <protection locked="0"/>
    </xf>
    <xf numFmtId="165" fontId="0" fillId="4" borderId="0" xfId="0" applyNumberFormat="1" applyFill="1" applyProtection="1">
      <protection locked="0"/>
    </xf>
    <xf numFmtId="0" fontId="7" fillId="20" borderId="9" xfId="0" applyFont="1" applyFill="1" applyBorder="1" applyAlignment="1" applyProtection="1">
      <alignment horizontal="left"/>
      <protection locked="0"/>
    </xf>
    <xf numFmtId="0" fontId="7" fillId="20" borderId="1" xfId="0" applyFont="1" applyFill="1" applyBorder="1" applyAlignment="1" applyProtection="1">
      <alignment horizontal="left"/>
      <protection locked="0"/>
    </xf>
    <xf numFmtId="0" fontId="6" fillId="9" borderId="25" xfId="0" applyFont="1" applyFill="1" applyBorder="1" applyAlignment="1" applyProtection="1">
      <alignment horizontal="left" vertical="center"/>
      <protection locked="0"/>
    </xf>
    <xf numFmtId="0" fontId="6" fillId="9" borderId="21" xfId="0" applyFont="1" applyFill="1" applyBorder="1" applyAlignment="1" applyProtection="1">
      <alignment horizontal="left" vertical="center"/>
      <protection locked="0"/>
    </xf>
    <xf numFmtId="0" fontId="1" fillId="4" borderId="9" xfId="0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4" borderId="11" xfId="0" applyFont="1" applyFill="1" applyBorder="1" applyAlignment="1" applyProtection="1">
      <alignment horizontal="left" vertical="top"/>
      <protection locked="0"/>
    </xf>
    <xf numFmtId="0" fontId="1" fillId="4" borderId="12" xfId="0" applyFont="1" applyFill="1" applyBorder="1" applyAlignment="1" applyProtection="1">
      <alignment horizontal="left" vertical="top"/>
      <protection locked="0"/>
    </xf>
    <xf numFmtId="167" fontId="7" fillId="21" borderId="1" xfId="1" applyNumberFormat="1" applyFont="1" applyFill="1" applyBorder="1" applyAlignment="1" applyProtection="1">
      <alignment horizontal="center"/>
      <protection locked="0"/>
    </xf>
    <xf numFmtId="169" fontId="6" fillId="12" borderId="6" xfId="2" applyNumberFormat="1" applyFont="1" applyFill="1" applyBorder="1" applyAlignment="1" applyProtection="1">
      <alignment horizontal="left" vertical="center"/>
    </xf>
    <xf numFmtId="169" fontId="7" fillId="4" borderId="1" xfId="2" applyNumberFormat="1" applyFont="1" applyFill="1" applyBorder="1" applyAlignment="1" applyProtection="1">
      <alignment horizontal="left"/>
      <protection locked="0"/>
    </xf>
    <xf numFmtId="167" fontId="7" fillId="21" borderId="1" xfId="1" applyNumberFormat="1" applyFont="1" applyFill="1" applyBorder="1" applyAlignment="1" applyProtection="1">
      <alignment horizontal="center"/>
    </xf>
    <xf numFmtId="0" fontId="6" fillId="4" borderId="9" xfId="0" applyFont="1" applyFill="1" applyBorder="1" applyAlignment="1" applyProtection="1">
      <alignment horizontal="center" vertical="center" textRotation="255"/>
      <protection locked="0"/>
    </xf>
    <xf numFmtId="0" fontId="4" fillId="4" borderId="22" xfId="0" applyFont="1" applyFill="1" applyBorder="1" applyAlignment="1" applyProtection="1">
      <alignment horizontal="center" vertical="center"/>
      <protection locked="0"/>
    </xf>
    <xf numFmtId="0" fontId="4" fillId="4" borderId="23" xfId="0" applyFont="1" applyFill="1" applyBorder="1" applyAlignment="1" applyProtection="1">
      <alignment horizontal="center" vertical="center"/>
      <protection locked="0"/>
    </xf>
    <xf numFmtId="0" fontId="4" fillId="4" borderId="24" xfId="0" applyFon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12" borderId="9" xfId="0" applyFont="1" applyFill="1" applyBorder="1" applyAlignment="1" applyProtection="1">
      <alignment horizontal="center" vertical="center"/>
      <protection locked="0"/>
    </xf>
    <xf numFmtId="0" fontId="1" fillId="12" borderId="1" xfId="0" applyFont="1" applyFill="1" applyBorder="1" applyAlignment="1" applyProtection="1">
      <alignment horizontal="center" vertical="center"/>
      <protection locked="0"/>
    </xf>
    <xf numFmtId="0" fontId="0" fillId="4" borderId="25" xfId="0" applyFill="1" applyBorder="1" applyAlignment="1" applyProtection="1">
      <alignment horizontal="center"/>
      <protection locked="0"/>
    </xf>
    <xf numFmtId="0" fontId="0" fillId="4" borderId="0" xfId="0" applyFill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center"/>
      <protection locked="0"/>
    </xf>
    <xf numFmtId="0" fontId="1" fillId="15" borderId="3" xfId="0" applyFont="1" applyFill="1" applyBorder="1" applyAlignment="1" applyProtection="1">
      <alignment horizontal="center" vertical="center"/>
      <protection locked="0"/>
    </xf>
    <xf numFmtId="0" fontId="1" fillId="15" borderId="5" xfId="0" applyFont="1" applyFill="1" applyBorder="1" applyAlignment="1" applyProtection="1">
      <alignment horizontal="center" vertical="center"/>
      <protection locked="0"/>
    </xf>
    <xf numFmtId="0" fontId="1" fillId="15" borderId="4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9" fontId="6" fillId="4" borderId="1" xfId="2" applyNumberFormat="1" applyFont="1" applyFill="1" applyBorder="1" applyAlignment="1" applyProtection="1">
      <alignment horizontal="center" vertical="center" wrapText="1"/>
      <protection locked="0"/>
    </xf>
    <xf numFmtId="0" fontId="6" fillId="8" borderId="1" xfId="0" applyFont="1" applyFill="1" applyBorder="1" applyAlignment="1" applyProtection="1">
      <alignment horizontal="center" vertical="center" wrapText="1"/>
      <protection locked="0"/>
    </xf>
    <xf numFmtId="0" fontId="6" fillId="8" borderId="4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169" fontId="6" fillId="10" borderId="1" xfId="2" applyNumberFormat="1" applyFont="1" applyFill="1" applyBorder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/>
      <protection locked="0"/>
    </xf>
    <xf numFmtId="167" fontId="7" fillId="9" borderId="1" xfId="1" applyNumberFormat="1" applyFont="1" applyFill="1" applyBorder="1" applyAlignment="1" applyProtection="1">
      <alignment horizontal="center"/>
    </xf>
    <xf numFmtId="167" fontId="7" fillId="18" borderId="1" xfId="1" applyNumberFormat="1" applyFont="1" applyFill="1" applyBorder="1" applyAlignment="1" applyProtection="1">
      <alignment horizontal="center"/>
    </xf>
    <xf numFmtId="165" fontId="1" fillId="9" borderId="13" xfId="1" applyFont="1" applyFill="1" applyBorder="1" applyAlignment="1" applyProtection="1">
      <alignment horizontal="center" vertical="top" wrapText="1"/>
      <protection locked="0"/>
    </xf>
    <xf numFmtId="165" fontId="1" fillId="9" borderId="14" xfId="1" applyFont="1" applyFill="1" applyBorder="1" applyAlignment="1" applyProtection="1">
      <alignment horizontal="center" vertical="top" wrapText="1"/>
      <protection locked="0"/>
    </xf>
    <xf numFmtId="165" fontId="1" fillId="9" borderId="15" xfId="1" applyFont="1" applyFill="1" applyBorder="1" applyAlignment="1" applyProtection="1">
      <alignment horizontal="center" vertical="top" wrapText="1"/>
      <protection locked="0"/>
    </xf>
    <xf numFmtId="165" fontId="1" fillId="9" borderId="16" xfId="1" applyFont="1" applyFill="1" applyBorder="1" applyAlignment="1" applyProtection="1">
      <alignment horizontal="center" vertical="top" wrapText="1"/>
      <protection locked="0"/>
    </xf>
    <xf numFmtId="165" fontId="1" fillId="9" borderId="0" xfId="1" applyFont="1" applyFill="1" applyAlignment="1" applyProtection="1">
      <alignment horizontal="center" vertical="top" wrapText="1"/>
      <protection locked="0"/>
    </xf>
    <xf numFmtId="165" fontId="1" fillId="9" borderId="17" xfId="1" applyFont="1" applyFill="1" applyBorder="1" applyAlignment="1" applyProtection="1">
      <alignment horizontal="center" vertical="top" wrapText="1"/>
      <protection locked="0"/>
    </xf>
    <xf numFmtId="165" fontId="1" fillId="9" borderId="18" xfId="1" applyFont="1" applyFill="1" applyBorder="1" applyAlignment="1" applyProtection="1">
      <alignment horizontal="center" vertical="top" wrapText="1"/>
      <protection locked="0"/>
    </xf>
    <xf numFmtId="165" fontId="1" fillId="9" borderId="19" xfId="1" applyFont="1" applyFill="1" applyBorder="1" applyAlignment="1" applyProtection="1">
      <alignment horizontal="center" vertical="top" wrapText="1"/>
      <protection locked="0"/>
    </xf>
    <xf numFmtId="165" fontId="1" fillId="9" borderId="20" xfId="1" applyFont="1" applyFill="1" applyBorder="1" applyAlignment="1" applyProtection="1">
      <alignment horizontal="center" vertical="top" wrapText="1"/>
      <protection locked="0"/>
    </xf>
    <xf numFmtId="0" fontId="6" fillId="9" borderId="3" xfId="0" applyFont="1" applyFill="1" applyBorder="1" applyAlignment="1" applyProtection="1">
      <alignment horizontal="center" vertical="center"/>
      <protection locked="0"/>
    </xf>
    <xf numFmtId="0" fontId="6" fillId="9" borderId="4" xfId="0" applyFont="1" applyFill="1" applyBorder="1" applyAlignment="1" applyProtection="1">
      <alignment horizontal="center" vertical="center"/>
      <protection locked="0"/>
    </xf>
    <xf numFmtId="169" fontId="7" fillId="17" borderId="1" xfId="2" applyNumberFormat="1" applyFont="1" applyFill="1" applyBorder="1" applyAlignment="1" applyProtection="1">
      <alignment horizontal="left"/>
      <protection locked="0"/>
    </xf>
    <xf numFmtId="169" fontId="6" fillId="12" borderId="13" xfId="2" applyNumberFormat="1" applyFont="1" applyFill="1" applyBorder="1" applyAlignment="1" applyProtection="1">
      <alignment horizontal="center" vertical="center"/>
      <protection locked="0"/>
    </xf>
    <xf numFmtId="169" fontId="6" fillId="12" borderId="5" xfId="2" applyNumberFormat="1" applyFont="1" applyFill="1" applyBorder="1" applyAlignment="1" applyProtection="1">
      <alignment horizontal="center" vertical="center"/>
      <protection locked="0"/>
    </xf>
    <xf numFmtId="169" fontId="6" fillId="12" borderId="4" xfId="2" applyNumberFormat="1" applyFont="1" applyFill="1" applyBorder="1" applyAlignment="1" applyProtection="1">
      <alignment horizontal="center" vertical="center"/>
      <protection locked="0"/>
    </xf>
    <xf numFmtId="167" fontId="7" fillId="9" borderId="1" xfId="1" applyNumberFormat="1" applyFont="1" applyFill="1" applyBorder="1" applyAlignment="1" applyProtection="1">
      <alignment horizontal="center"/>
      <protection locked="0"/>
    </xf>
    <xf numFmtId="167" fontId="6" fillId="12" borderId="1" xfId="0" applyNumberFormat="1" applyFont="1" applyFill="1" applyBorder="1" applyAlignment="1">
      <alignment horizontal="left" vertical="center"/>
    </xf>
    <xf numFmtId="0" fontId="6" fillId="12" borderId="1" xfId="0" applyFont="1" applyFill="1" applyBorder="1" applyAlignment="1">
      <alignment horizontal="left" vertical="center"/>
    </xf>
    <xf numFmtId="0" fontId="6" fillId="8" borderId="4" xfId="0" applyFont="1" applyFill="1" applyBorder="1" applyAlignment="1" applyProtection="1">
      <alignment horizontal="center" vertical="center" wrapText="1"/>
      <protection locked="0"/>
    </xf>
    <xf numFmtId="168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22" fontId="1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6" fillId="8" borderId="10" xfId="0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19" borderId="3" xfId="0" applyFont="1" applyFill="1" applyBorder="1" applyAlignment="1" applyProtection="1">
      <alignment horizontal="center"/>
      <protection locked="0"/>
    </xf>
    <xf numFmtId="0" fontId="1" fillId="19" borderId="5" xfId="0" applyFont="1" applyFill="1" applyBorder="1" applyAlignment="1" applyProtection="1">
      <alignment horizontal="center"/>
      <protection locked="0"/>
    </xf>
    <xf numFmtId="0" fontId="1" fillId="19" borderId="4" xfId="0" applyFont="1" applyFill="1" applyBorder="1" applyAlignment="1" applyProtection="1">
      <alignment horizontal="center"/>
      <protection locked="0"/>
    </xf>
    <xf numFmtId="0" fontId="1" fillId="20" borderId="9" xfId="0" applyFont="1" applyFill="1" applyBorder="1" applyAlignment="1" applyProtection="1">
      <alignment horizontal="center"/>
      <protection locked="0"/>
    </xf>
    <xf numFmtId="0" fontId="1" fillId="20" borderId="1" xfId="0" applyFont="1" applyFill="1" applyBorder="1" applyAlignment="1" applyProtection="1">
      <alignment horizontal="center"/>
      <protection locked="0"/>
    </xf>
    <xf numFmtId="0" fontId="1" fillId="20" borderId="9" xfId="0" applyFont="1" applyFill="1" applyBorder="1" applyAlignment="1" applyProtection="1">
      <alignment horizontal="center" vertical="center"/>
      <protection locked="0"/>
    </xf>
    <xf numFmtId="0" fontId="1" fillId="20" borderId="1" xfId="0" applyFont="1" applyFill="1" applyBorder="1" applyAlignment="1" applyProtection="1">
      <alignment horizontal="center" vertical="center"/>
      <protection locked="0"/>
    </xf>
    <xf numFmtId="0" fontId="1" fillId="21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16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colors>
    <mruColors>
      <color rgb="FFF9FC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T35"/>
  <sheetViews>
    <sheetView tabSelected="1" topLeftCell="C1" zoomScale="140" zoomScaleNormal="140" workbookViewId="0">
      <selection activeCell="K26" sqref="K26:L26"/>
    </sheetView>
  </sheetViews>
  <sheetFormatPr baseColWidth="10" defaultColWidth="11.42578125" defaultRowHeight="15" x14ac:dyDescent="0.25"/>
  <cols>
    <col min="1" max="1" width="3.28515625" style="17" bestFit="1" customWidth="1"/>
    <col min="2" max="2" width="31.140625" style="17" bestFit="1" customWidth="1"/>
    <col min="3" max="3" width="14.42578125" style="17" customWidth="1"/>
    <col min="4" max="4" width="8.28515625" style="17" customWidth="1"/>
    <col min="5" max="5" width="14.7109375" style="17" customWidth="1"/>
    <col min="6" max="6" width="12.28515625" style="27" customWidth="1"/>
    <col min="7" max="7" width="10.28515625" style="28" customWidth="1"/>
    <col min="8" max="9" width="12.7109375" style="28" customWidth="1"/>
    <col min="10" max="10" width="15.28515625" style="28" customWidth="1"/>
    <col min="11" max="11" width="11.5703125" style="17" customWidth="1"/>
    <col min="12" max="12" width="10.42578125" style="17" customWidth="1"/>
    <col min="13" max="13" width="11.28515625" style="17" customWidth="1"/>
    <col min="14" max="14" width="11.42578125" style="17"/>
    <col min="15" max="15" width="15.42578125" style="17" customWidth="1"/>
    <col min="16" max="16" width="13.5703125" style="17" customWidth="1"/>
    <col min="17" max="17" width="14.28515625" style="17" customWidth="1"/>
    <col min="18" max="18" width="17.28515625" style="17" customWidth="1"/>
    <col min="19" max="19" width="11.42578125" style="17"/>
    <col min="20" max="20" width="15.42578125" style="17" bestFit="1" customWidth="1"/>
    <col min="21" max="16384" width="11.42578125" style="17"/>
  </cols>
  <sheetData>
    <row r="1" spans="1:18" ht="40.5" customHeight="1" x14ac:dyDescent="0.25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9"/>
    </row>
    <row r="2" spans="1:18" ht="29.25" customHeight="1" x14ac:dyDescent="0.25">
      <c r="A2" s="80" t="s">
        <v>1</v>
      </c>
      <c r="B2" s="81"/>
      <c r="C2" s="15" t="s">
        <v>73</v>
      </c>
      <c r="D2" s="46">
        <v>15</v>
      </c>
      <c r="E2" s="90" t="s">
        <v>69</v>
      </c>
      <c r="F2" s="90"/>
      <c r="G2" s="87" t="s">
        <v>76</v>
      </c>
      <c r="H2" s="88"/>
      <c r="I2" s="88"/>
      <c r="J2" s="89"/>
      <c r="K2" s="81" t="s">
        <v>2</v>
      </c>
      <c r="L2" s="81"/>
      <c r="M2" s="81"/>
      <c r="N2" s="81"/>
      <c r="O2" s="81"/>
      <c r="P2" s="122">
        <f ca="1">NOW()</f>
        <v>46007.42020335648</v>
      </c>
      <c r="Q2" s="90"/>
      <c r="R2" s="123"/>
    </row>
    <row r="3" spans="1:18" ht="15" customHeight="1" x14ac:dyDescent="0.25">
      <c r="A3" s="76" t="s">
        <v>65</v>
      </c>
      <c r="B3" s="93" t="s">
        <v>3</v>
      </c>
      <c r="C3" s="94"/>
      <c r="D3" s="94"/>
      <c r="E3" s="95" t="s">
        <v>4</v>
      </c>
      <c r="F3" s="95"/>
      <c r="G3" s="95"/>
      <c r="H3" s="95"/>
      <c r="I3" s="95"/>
      <c r="J3" s="95"/>
      <c r="K3" s="96" t="s">
        <v>5</v>
      </c>
      <c r="L3" s="96"/>
      <c r="M3" s="96"/>
      <c r="N3" s="96"/>
      <c r="O3" s="96"/>
      <c r="P3" s="96"/>
      <c r="Q3" s="96"/>
      <c r="R3" s="124" t="s">
        <v>6</v>
      </c>
    </row>
    <row r="4" spans="1:18" s="18" customFormat="1" ht="21" customHeight="1" x14ac:dyDescent="0.25">
      <c r="A4" s="76"/>
      <c r="B4" s="120" t="s">
        <v>62</v>
      </c>
      <c r="C4" s="92" t="s">
        <v>56</v>
      </c>
      <c r="D4" s="92" t="s">
        <v>9</v>
      </c>
      <c r="E4" s="51" t="s">
        <v>11</v>
      </c>
      <c r="F4" s="121" t="s">
        <v>64</v>
      </c>
      <c r="G4" s="91" t="s">
        <v>83</v>
      </c>
      <c r="H4" s="91" t="s">
        <v>63</v>
      </c>
      <c r="I4" s="91" t="s">
        <v>72</v>
      </c>
      <c r="J4" s="97" t="s">
        <v>10</v>
      </c>
      <c r="K4" s="33" t="s">
        <v>12</v>
      </c>
      <c r="L4" s="33" t="s">
        <v>13</v>
      </c>
      <c r="M4" s="92" t="s">
        <v>14</v>
      </c>
      <c r="N4" s="92" t="s">
        <v>15</v>
      </c>
      <c r="O4" s="92" t="s">
        <v>57</v>
      </c>
      <c r="P4" s="92" t="s">
        <v>70</v>
      </c>
      <c r="Q4" s="92" t="s">
        <v>16</v>
      </c>
      <c r="R4" s="124"/>
    </row>
    <row r="5" spans="1:18" ht="21" customHeight="1" x14ac:dyDescent="0.25">
      <c r="A5" s="76"/>
      <c r="B5" s="120"/>
      <c r="C5" s="92"/>
      <c r="D5" s="92"/>
      <c r="E5" s="49" t="str">
        <f>+C2</f>
        <v>Quincenal</v>
      </c>
      <c r="F5" s="121"/>
      <c r="G5" s="91"/>
      <c r="H5" s="91"/>
      <c r="I5" s="91"/>
      <c r="J5" s="97"/>
      <c r="K5" s="34">
        <v>0.04</v>
      </c>
      <c r="L5" s="34">
        <v>0.04</v>
      </c>
      <c r="M5" s="92"/>
      <c r="N5" s="92"/>
      <c r="O5" s="92"/>
      <c r="P5" s="92"/>
      <c r="Q5" s="92"/>
      <c r="R5" s="124"/>
    </row>
    <row r="6" spans="1:18" ht="25.15" customHeight="1" x14ac:dyDescent="0.25">
      <c r="A6" s="43">
        <v>1</v>
      </c>
      <c r="B6" s="45" t="s">
        <v>77</v>
      </c>
      <c r="C6" s="52">
        <v>3000000</v>
      </c>
      <c r="D6" s="58">
        <v>11</v>
      </c>
      <c r="E6" s="20">
        <f>C6/30*D6</f>
        <v>1100000</v>
      </c>
      <c r="F6" s="20">
        <f>IF(C6&lt;=2*$R$20,$R$21/30*D6,0)</f>
        <v>0</v>
      </c>
      <c r="G6" s="20">
        <f>+'HORAS EXTRAS Y RECARGOS'!X6</f>
        <v>0</v>
      </c>
      <c r="H6" s="21"/>
      <c r="I6" s="21">
        <f>(C6/30*2+C6/30*2*0.666666666666667)</f>
        <v>333333.33333333337</v>
      </c>
      <c r="J6" s="36">
        <f>+SUM(E6:I6)</f>
        <v>1433333.3333333335</v>
      </c>
      <c r="K6" s="20">
        <f>(C6/30*$D$2+G6+H6)*$K$5</f>
        <v>60000</v>
      </c>
      <c r="L6" s="20">
        <f>IF(C6&lt;=4*$R$20,(C6/30*$D$2+G6+H6)*4%,(C6/30*$D$2+G6+H6)*5%)</f>
        <v>60000</v>
      </c>
      <c r="M6" s="21"/>
      <c r="N6" s="21"/>
      <c r="O6" s="21"/>
      <c r="P6" s="21">
        <v>15000</v>
      </c>
      <c r="Q6" s="47">
        <f>SUM(K6:P6)</f>
        <v>135000</v>
      </c>
      <c r="R6" s="35">
        <f>+J6-Q6</f>
        <v>1298333.3333333335</v>
      </c>
    </row>
    <row r="7" spans="1:18" ht="25.15" customHeight="1" x14ac:dyDescent="0.25">
      <c r="A7" s="43">
        <v>2</v>
      </c>
      <c r="B7" s="45" t="s">
        <v>78</v>
      </c>
      <c r="C7" s="52">
        <v>1600000</v>
      </c>
      <c r="D7" s="58">
        <f t="shared" ref="D7:D11" si="0">+$D$2</f>
        <v>15</v>
      </c>
      <c r="E7" s="20">
        <f t="shared" ref="E7:E15" si="1">C7/30*D7</f>
        <v>800000</v>
      </c>
      <c r="F7" s="20">
        <f t="shared" ref="F7:F15" si="2">IF(C7&lt;=2*$R$20,$R$21/30*D7,0)</f>
        <v>100000</v>
      </c>
      <c r="G7" s="20">
        <f>+'HORAS EXTRAS Y RECARGOS'!X7</f>
        <v>241090.90909090912</v>
      </c>
      <c r="H7" s="21"/>
      <c r="I7" s="21"/>
      <c r="J7" s="36">
        <f t="shared" ref="J7:J15" si="3">+SUM(E7:I7)</f>
        <v>1141090.9090909092</v>
      </c>
      <c r="K7" s="20">
        <f t="shared" ref="K7:K15" si="4">(C7/30*$D$2+G7+H7)*$K$5</f>
        <v>41643.636363636368</v>
      </c>
      <c r="L7" s="20">
        <f>IF(C7&lt;=4*$R$20,(C7/30*$D$2+G7+H7)*4%,(C7/30*$D$2+G7+H7)*5%)</f>
        <v>41643.636363636368</v>
      </c>
      <c r="M7" s="21">
        <v>100000</v>
      </c>
      <c r="N7" s="21"/>
      <c r="O7" s="21"/>
      <c r="P7" s="21">
        <v>15000</v>
      </c>
      <c r="Q7" s="47">
        <f t="shared" ref="Q7:Q15" si="5">SUM(K7:P7)</f>
        <v>198287.27272727274</v>
      </c>
      <c r="R7" s="35">
        <f t="shared" ref="R7:R15" si="6">+J7-Q7</f>
        <v>942803.63636363647</v>
      </c>
    </row>
    <row r="8" spans="1:18" ht="25.15" customHeight="1" x14ac:dyDescent="0.25">
      <c r="A8" s="43">
        <v>3</v>
      </c>
      <c r="B8" s="45" t="s">
        <v>79</v>
      </c>
      <c r="C8" s="52">
        <v>1450000</v>
      </c>
      <c r="D8" s="58">
        <v>13</v>
      </c>
      <c r="E8" s="20">
        <f t="shared" si="1"/>
        <v>628333.33333333337</v>
      </c>
      <c r="F8" s="20">
        <f t="shared" si="2"/>
        <v>86666.666666666672</v>
      </c>
      <c r="G8" s="20">
        <f>+'HORAS EXTRAS Y RECARGOS'!X8</f>
        <v>92272.727272727279</v>
      </c>
      <c r="H8" s="21"/>
      <c r="I8" s="21">
        <f>+C8/30*2</f>
        <v>96666.666666666672</v>
      </c>
      <c r="J8" s="36">
        <f t="shared" si="3"/>
        <v>903939.39393939392</v>
      </c>
      <c r="K8" s="20">
        <f t="shared" si="4"/>
        <v>32690.909090909092</v>
      </c>
      <c r="L8" s="20">
        <f t="shared" ref="L8:L15" si="7">IF(C8&lt;=4*$R$20,(C8/30*$D$2+G8+H8)*4%,(C8/30*$D$2+G8+H8)*5%)</f>
        <v>32690.909090909092</v>
      </c>
      <c r="M8" s="21"/>
      <c r="N8" s="21"/>
      <c r="O8" s="21"/>
      <c r="P8" s="21">
        <v>15000</v>
      </c>
      <c r="Q8" s="47">
        <f t="shared" si="5"/>
        <v>80381.818181818177</v>
      </c>
      <c r="R8" s="35">
        <f t="shared" si="6"/>
        <v>823557.57575757569</v>
      </c>
    </row>
    <row r="9" spans="1:18" ht="25.15" customHeight="1" x14ac:dyDescent="0.25">
      <c r="A9" s="43">
        <v>4</v>
      </c>
      <c r="B9" s="45" t="s">
        <v>80</v>
      </c>
      <c r="C9" s="52">
        <v>1423500</v>
      </c>
      <c r="D9" s="58">
        <f t="shared" si="0"/>
        <v>15</v>
      </c>
      <c r="E9" s="20">
        <f t="shared" si="1"/>
        <v>711750</v>
      </c>
      <c r="F9" s="20">
        <f t="shared" si="2"/>
        <v>100000</v>
      </c>
      <c r="G9" s="20">
        <f>+'HORAS EXTRAS Y RECARGOS'!X9</f>
        <v>0</v>
      </c>
      <c r="H9" s="21">
        <f>30000000*3%</f>
        <v>900000</v>
      </c>
      <c r="I9" s="21">
        <v>300000</v>
      </c>
      <c r="J9" s="36">
        <f t="shared" si="3"/>
        <v>2011750</v>
      </c>
      <c r="K9" s="20">
        <f t="shared" si="4"/>
        <v>64470</v>
      </c>
      <c r="L9" s="20">
        <f t="shared" si="7"/>
        <v>64470</v>
      </c>
      <c r="M9" s="21"/>
      <c r="N9" s="21"/>
      <c r="O9" s="21"/>
      <c r="P9" s="21">
        <v>15000</v>
      </c>
      <c r="Q9" s="47">
        <f t="shared" si="5"/>
        <v>143940</v>
      </c>
      <c r="R9" s="35">
        <f t="shared" si="6"/>
        <v>1867810</v>
      </c>
    </row>
    <row r="10" spans="1:18" ht="25.15" customHeight="1" x14ac:dyDescent="0.25">
      <c r="A10" s="43">
        <v>5</v>
      </c>
      <c r="B10" s="45" t="s">
        <v>81</v>
      </c>
      <c r="C10" s="52">
        <v>1600000</v>
      </c>
      <c r="D10" s="58">
        <f t="shared" si="0"/>
        <v>15</v>
      </c>
      <c r="E10" s="20">
        <f t="shared" si="1"/>
        <v>800000</v>
      </c>
      <c r="F10" s="20">
        <f t="shared" si="2"/>
        <v>100000</v>
      </c>
      <c r="G10" s="20">
        <f>+'HORAS EXTRAS Y RECARGOS'!X10</f>
        <v>104727.27272727274</v>
      </c>
      <c r="H10" s="21"/>
      <c r="I10" s="21"/>
      <c r="J10" s="36">
        <f t="shared" si="3"/>
        <v>1004727.2727272727</v>
      </c>
      <c r="K10" s="20">
        <f t="shared" si="4"/>
        <v>36189.090909090912</v>
      </c>
      <c r="L10" s="20">
        <f t="shared" si="7"/>
        <v>36189.090909090912</v>
      </c>
      <c r="M10" s="21"/>
      <c r="N10" s="21">
        <f>(C10/30*D2+G10+H10-1423500/30*D2)*20%</f>
        <v>38595.454545454544</v>
      </c>
      <c r="O10" s="21"/>
      <c r="P10" s="21">
        <v>15000</v>
      </c>
      <c r="Q10" s="47">
        <f t="shared" si="5"/>
        <v>125973.63636363637</v>
      </c>
      <c r="R10" s="35">
        <f t="shared" si="6"/>
        <v>878753.63636363635</v>
      </c>
    </row>
    <row r="11" spans="1:18" ht="25.15" customHeight="1" x14ac:dyDescent="0.25">
      <c r="A11" s="43">
        <v>6</v>
      </c>
      <c r="B11" s="45" t="s">
        <v>82</v>
      </c>
      <c r="C11" s="52">
        <v>6000000</v>
      </c>
      <c r="D11" s="58">
        <f t="shared" si="0"/>
        <v>15</v>
      </c>
      <c r="E11" s="20">
        <f t="shared" si="1"/>
        <v>3000000</v>
      </c>
      <c r="F11" s="20">
        <f t="shared" si="2"/>
        <v>0</v>
      </c>
      <c r="G11" s="20">
        <f>+'HORAS EXTRAS Y RECARGOS'!X11</f>
        <v>0</v>
      </c>
      <c r="H11" s="21"/>
      <c r="I11" s="21"/>
      <c r="J11" s="36">
        <f t="shared" si="3"/>
        <v>3000000</v>
      </c>
      <c r="K11" s="20">
        <f t="shared" si="4"/>
        <v>120000</v>
      </c>
      <c r="L11" s="20">
        <f t="shared" si="7"/>
        <v>150000</v>
      </c>
      <c r="M11" s="21"/>
      <c r="N11" s="21">
        <f>+(C11/30*D2+G11+H11)*30%</f>
        <v>900000</v>
      </c>
      <c r="O11" s="21"/>
      <c r="P11" s="21">
        <v>15000</v>
      </c>
      <c r="Q11" s="47">
        <f t="shared" si="5"/>
        <v>1185000</v>
      </c>
      <c r="R11" s="35">
        <f t="shared" si="6"/>
        <v>1815000</v>
      </c>
    </row>
    <row r="12" spans="1:18" ht="25.15" customHeight="1" x14ac:dyDescent="0.25">
      <c r="A12" s="43">
        <v>7</v>
      </c>
      <c r="B12" s="45"/>
      <c r="C12" s="19"/>
      <c r="D12" s="58"/>
      <c r="E12" s="20">
        <f>C12/30*D12</f>
        <v>0</v>
      </c>
      <c r="F12" s="20">
        <f t="shared" si="2"/>
        <v>0</v>
      </c>
      <c r="G12" s="20">
        <f>+'HORAS EXTRAS Y RECARGOS'!X12</f>
        <v>0</v>
      </c>
      <c r="H12" s="21"/>
      <c r="I12" s="21">
        <f>(C12/30*2+C12/30*4*2/3)</f>
        <v>0</v>
      </c>
      <c r="J12" s="36">
        <f t="shared" si="3"/>
        <v>0</v>
      </c>
      <c r="K12" s="20">
        <f t="shared" si="4"/>
        <v>0</v>
      </c>
      <c r="L12" s="20">
        <f t="shared" si="7"/>
        <v>0</v>
      </c>
      <c r="M12" s="21"/>
      <c r="N12" s="21"/>
      <c r="O12" s="21"/>
      <c r="P12" s="21"/>
      <c r="Q12" s="47">
        <f t="shared" si="5"/>
        <v>0</v>
      </c>
      <c r="R12" s="35">
        <f t="shared" si="6"/>
        <v>0</v>
      </c>
    </row>
    <row r="13" spans="1:18" ht="25.15" customHeight="1" x14ac:dyDescent="0.25">
      <c r="A13" s="43">
        <v>8</v>
      </c>
      <c r="B13" s="41"/>
      <c r="C13" s="19"/>
      <c r="D13" s="58"/>
      <c r="E13" s="20">
        <f t="shared" si="1"/>
        <v>0</v>
      </c>
      <c r="F13" s="20">
        <f t="shared" si="2"/>
        <v>0</v>
      </c>
      <c r="G13" s="20">
        <f>+'HORAS EXTRAS Y RECARGOS'!X13</f>
        <v>0</v>
      </c>
      <c r="H13" s="21"/>
      <c r="I13" s="21"/>
      <c r="J13" s="36">
        <f t="shared" si="3"/>
        <v>0</v>
      </c>
      <c r="K13" s="20">
        <f t="shared" si="4"/>
        <v>0</v>
      </c>
      <c r="L13" s="20">
        <f t="shared" si="7"/>
        <v>0</v>
      </c>
      <c r="M13" s="21"/>
      <c r="N13" s="21"/>
      <c r="O13" s="21"/>
      <c r="P13" s="21"/>
      <c r="Q13" s="47">
        <f t="shared" si="5"/>
        <v>0</v>
      </c>
      <c r="R13" s="35">
        <f t="shared" si="6"/>
        <v>0</v>
      </c>
    </row>
    <row r="14" spans="1:18" ht="25.15" customHeight="1" x14ac:dyDescent="0.25">
      <c r="A14" s="43">
        <v>9</v>
      </c>
      <c r="B14" s="41"/>
      <c r="C14" s="19"/>
      <c r="D14" s="58"/>
      <c r="E14" s="20">
        <f t="shared" si="1"/>
        <v>0</v>
      </c>
      <c r="F14" s="20">
        <f t="shared" si="2"/>
        <v>0</v>
      </c>
      <c r="G14" s="20">
        <f>+'HORAS EXTRAS Y RECARGOS'!X14</f>
        <v>0</v>
      </c>
      <c r="H14" s="21"/>
      <c r="I14" s="21"/>
      <c r="J14" s="36">
        <f t="shared" si="3"/>
        <v>0</v>
      </c>
      <c r="K14" s="20">
        <f t="shared" si="4"/>
        <v>0</v>
      </c>
      <c r="L14" s="20">
        <f t="shared" si="7"/>
        <v>0</v>
      </c>
      <c r="M14" s="21"/>
      <c r="N14" s="21"/>
      <c r="O14" s="21"/>
      <c r="P14" s="21"/>
      <c r="Q14" s="47">
        <f t="shared" si="5"/>
        <v>0</v>
      </c>
      <c r="R14" s="35">
        <f t="shared" si="6"/>
        <v>0</v>
      </c>
    </row>
    <row r="15" spans="1:18" ht="25.15" customHeight="1" x14ac:dyDescent="0.25">
      <c r="A15" s="43">
        <v>10</v>
      </c>
      <c r="B15" s="45"/>
      <c r="C15" s="19"/>
      <c r="D15" s="58"/>
      <c r="E15" s="20">
        <f t="shared" si="1"/>
        <v>0</v>
      </c>
      <c r="F15" s="20">
        <f t="shared" si="2"/>
        <v>0</v>
      </c>
      <c r="G15" s="20">
        <f>+'HORAS EXTRAS Y RECARGOS'!X15</f>
        <v>0</v>
      </c>
      <c r="H15" s="21"/>
      <c r="I15" s="21"/>
      <c r="J15" s="36">
        <f t="shared" si="3"/>
        <v>0</v>
      </c>
      <c r="K15" s="20">
        <f t="shared" si="4"/>
        <v>0</v>
      </c>
      <c r="L15" s="20">
        <f t="shared" si="7"/>
        <v>0</v>
      </c>
      <c r="M15" s="21"/>
      <c r="N15" s="21"/>
      <c r="O15" s="21"/>
      <c r="P15" s="21"/>
      <c r="Q15" s="47">
        <f t="shared" si="5"/>
        <v>0</v>
      </c>
      <c r="R15" s="35">
        <f t="shared" si="6"/>
        <v>0</v>
      </c>
    </row>
    <row r="16" spans="1:18" ht="30" customHeight="1" x14ac:dyDescent="0.25">
      <c r="A16" s="82" t="s">
        <v>17</v>
      </c>
      <c r="B16" s="83"/>
      <c r="C16" s="53">
        <f>SUM(C6:C15)</f>
        <v>15073500</v>
      </c>
      <c r="D16" s="53"/>
      <c r="E16" s="53">
        <f t="shared" ref="E16:R16" si="8">SUM(E6:E15)</f>
        <v>7040083.333333334</v>
      </c>
      <c r="F16" s="53">
        <f t="shared" si="8"/>
        <v>386666.66666666669</v>
      </c>
      <c r="G16" s="53">
        <f t="shared" si="8"/>
        <v>438090.90909090918</v>
      </c>
      <c r="H16" s="53">
        <f t="shared" si="8"/>
        <v>900000</v>
      </c>
      <c r="I16" s="53">
        <f t="shared" si="8"/>
        <v>730000</v>
      </c>
      <c r="J16" s="53">
        <f t="shared" si="8"/>
        <v>9494840.9090909101</v>
      </c>
      <c r="K16" s="53">
        <f t="shared" si="8"/>
        <v>354993.63636363635</v>
      </c>
      <c r="L16" s="53">
        <f>SUM(L6:L15)</f>
        <v>384993.63636363635</v>
      </c>
      <c r="M16" s="53">
        <f t="shared" si="8"/>
        <v>100000</v>
      </c>
      <c r="N16" s="53">
        <f t="shared" si="8"/>
        <v>938595.45454545459</v>
      </c>
      <c r="O16" s="53">
        <f t="shared" si="8"/>
        <v>0</v>
      </c>
      <c r="P16" s="53">
        <f t="shared" si="8"/>
        <v>90000</v>
      </c>
      <c r="Q16" s="53">
        <f t="shared" si="8"/>
        <v>1868582.7272727271</v>
      </c>
      <c r="R16" s="53">
        <f t="shared" si="8"/>
        <v>7626258.1818181816</v>
      </c>
    </row>
    <row r="17" spans="1:20" ht="8.25" customHeight="1" x14ac:dyDescent="0.25">
      <c r="A17" s="84"/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6"/>
      <c r="P17" s="81"/>
      <c r="Q17" s="81"/>
      <c r="R17" s="125"/>
    </row>
    <row r="18" spans="1:20" s="22" customFormat="1" x14ac:dyDescent="0.25">
      <c r="A18" s="132" t="s">
        <v>67</v>
      </c>
      <c r="B18" s="133"/>
      <c r="C18" s="133"/>
      <c r="D18" s="133"/>
      <c r="E18" s="133" t="s">
        <v>5</v>
      </c>
      <c r="F18" s="133"/>
      <c r="G18" s="133"/>
      <c r="H18" s="126" t="s">
        <v>71</v>
      </c>
      <c r="I18" s="127"/>
      <c r="J18" s="127"/>
      <c r="K18" s="127"/>
      <c r="L18" s="128"/>
      <c r="M18" s="129" t="s">
        <v>68</v>
      </c>
      <c r="N18" s="130"/>
      <c r="O18" s="131"/>
      <c r="P18" s="81"/>
      <c r="Q18" s="81"/>
      <c r="R18" s="125"/>
    </row>
    <row r="19" spans="1:20" s="23" customFormat="1" x14ac:dyDescent="0.25">
      <c r="A19" s="134" t="s">
        <v>18</v>
      </c>
      <c r="B19" s="135"/>
      <c r="C19" s="136" t="s">
        <v>19</v>
      </c>
      <c r="D19" s="136"/>
      <c r="E19" s="61" t="s">
        <v>18</v>
      </c>
      <c r="F19" s="136" t="s">
        <v>19</v>
      </c>
      <c r="G19" s="136"/>
      <c r="H19" s="137" t="s">
        <v>18</v>
      </c>
      <c r="I19" s="137"/>
      <c r="J19" s="48" t="s">
        <v>20</v>
      </c>
      <c r="K19" s="138" t="s">
        <v>19</v>
      </c>
      <c r="L19" s="138"/>
      <c r="M19" s="16" t="s">
        <v>21</v>
      </c>
      <c r="N19" s="16" t="s">
        <v>20</v>
      </c>
      <c r="O19" s="39" t="s">
        <v>19</v>
      </c>
      <c r="P19" s="81"/>
      <c r="Q19" s="81"/>
      <c r="R19" s="125"/>
    </row>
    <row r="20" spans="1:20" ht="20.100000000000001" customHeight="1" x14ac:dyDescent="0.25">
      <c r="A20" s="64" t="s">
        <v>66</v>
      </c>
      <c r="B20" s="65"/>
      <c r="C20" s="75">
        <f>+E16</f>
        <v>7040083.333333334</v>
      </c>
      <c r="D20" s="75"/>
      <c r="E20" s="62" t="s">
        <v>12</v>
      </c>
      <c r="F20" s="75">
        <f>+K16</f>
        <v>354993.63636363635</v>
      </c>
      <c r="G20" s="75"/>
      <c r="H20" s="113" t="s">
        <v>32</v>
      </c>
      <c r="I20" s="113"/>
      <c r="J20" s="54"/>
      <c r="K20" s="101">
        <f>($C$16/30*$D$2+$C$22+$C$23+$C$24+$C$25)*J20</f>
        <v>0</v>
      </c>
      <c r="L20" s="101"/>
      <c r="M20" s="29" t="s">
        <v>34</v>
      </c>
      <c r="N20" s="30">
        <v>8.3299999999999999E-2</v>
      </c>
      <c r="O20" s="50">
        <f>+($C$16/30*$D$2+$C$21+$C$22+$C$23+$C$24+$C$25)*N20</f>
        <v>771483.58106060605</v>
      </c>
      <c r="P20" s="98" t="s">
        <v>74</v>
      </c>
      <c r="Q20" s="99"/>
      <c r="R20" s="24">
        <v>1423500</v>
      </c>
    </row>
    <row r="21" spans="1:20" ht="20.100000000000001" customHeight="1" x14ac:dyDescent="0.25">
      <c r="A21" s="64" t="s">
        <v>25</v>
      </c>
      <c r="B21" s="65"/>
      <c r="C21" s="75">
        <f>+F16</f>
        <v>386666.66666666669</v>
      </c>
      <c r="D21" s="75"/>
      <c r="E21" s="62" t="s">
        <v>13</v>
      </c>
      <c r="F21" s="75">
        <f>+L16</f>
        <v>384993.63636363635</v>
      </c>
      <c r="G21" s="75"/>
      <c r="H21" s="113" t="s">
        <v>33</v>
      </c>
      <c r="I21" s="113"/>
      <c r="J21" s="54"/>
      <c r="K21" s="101">
        <f t="shared" ref="K21:K24" si="9">($C$16/30*$D$2+$C$22+$C$23+$C$24+$C$25)*J21</f>
        <v>0</v>
      </c>
      <c r="L21" s="101"/>
      <c r="M21" s="29" t="s">
        <v>35</v>
      </c>
      <c r="N21" s="30">
        <v>8.3299999999999999E-2</v>
      </c>
      <c r="O21" s="59">
        <f t="shared" ref="O21:O22" si="10">+($C$16/30*$D$2+$C$21+$C$22+$C$23+$C$24+$C$25)*N21</f>
        <v>771483.58106060605</v>
      </c>
      <c r="P21" s="98" t="s">
        <v>75</v>
      </c>
      <c r="Q21" s="99"/>
      <c r="R21" s="24">
        <v>200000</v>
      </c>
    </row>
    <row r="22" spans="1:20" ht="20.100000000000001" customHeight="1" x14ac:dyDescent="0.25">
      <c r="A22" s="64" t="s">
        <v>26</v>
      </c>
      <c r="B22" s="65"/>
      <c r="C22" s="75">
        <f>+'HORAS EXTRAS Y RECARGOS'!E16+'HORAS EXTRAS Y RECARGOS'!H16+'HORAS EXTRAS Y RECARGOS'!N16+'HORAS EXTRAS Y RECARGOS'!Q16</f>
        <v>228636.36363636365</v>
      </c>
      <c r="D22" s="75"/>
      <c r="E22" s="62" t="s">
        <v>14</v>
      </c>
      <c r="F22" s="75">
        <f>+M16</f>
        <v>100000</v>
      </c>
      <c r="G22" s="75"/>
      <c r="H22" s="74" t="s">
        <v>51</v>
      </c>
      <c r="I22" s="74"/>
      <c r="J22" s="56">
        <v>0.04</v>
      </c>
      <c r="K22" s="100">
        <f t="shared" si="9"/>
        <v>354993.63636363641</v>
      </c>
      <c r="L22" s="100"/>
      <c r="M22" s="29" t="s">
        <v>50</v>
      </c>
      <c r="N22" s="31">
        <v>0.01</v>
      </c>
      <c r="O22" s="59">
        <f t="shared" si="10"/>
        <v>92615.07575757576</v>
      </c>
      <c r="P22" s="98" t="s">
        <v>55</v>
      </c>
      <c r="Q22" s="99"/>
      <c r="R22" s="25">
        <v>220</v>
      </c>
    </row>
    <row r="23" spans="1:20" ht="20.100000000000001" customHeight="1" x14ac:dyDescent="0.25">
      <c r="A23" s="64" t="s">
        <v>27</v>
      </c>
      <c r="B23" s="65"/>
      <c r="C23" s="75">
        <f>+'HORAS EXTRAS Y RECARGOS'!K16+'HORAS EXTRAS Y RECARGOS'!T16</f>
        <v>0</v>
      </c>
      <c r="D23" s="75"/>
      <c r="E23" s="62" t="s">
        <v>29</v>
      </c>
      <c r="F23" s="75">
        <f>+N16</f>
        <v>938595.45454545459</v>
      </c>
      <c r="G23" s="75"/>
      <c r="H23" s="113" t="s">
        <v>12</v>
      </c>
      <c r="I23" s="113"/>
      <c r="J23" s="55"/>
      <c r="K23" s="101">
        <f t="shared" si="9"/>
        <v>0</v>
      </c>
      <c r="L23" s="101"/>
      <c r="M23" s="29" t="s">
        <v>36</v>
      </c>
      <c r="N23" s="30">
        <v>4.1700000000000001E-2</v>
      </c>
      <c r="O23" s="59">
        <f>+($C$16/30*$D$2)*N23</f>
        <v>314282.47500000003</v>
      </c>
      <c r="P23" s="102"/>
      <c r="Q23" s="103"/>
      <c r="R23" s="104"/>
      <c r="T23" s="63"/>
    </row>
    <row r="24" spans="1:20" ht="20.100000000000001" customHeight="1" x14ac:dyDescent="0.25">
      <c r="A24" s="64" t="s">
        <v>28</v>
      </c>
      <c r="B24" s="65"/>
      <c r="C24" s="75">
        <f>+'HORAS EXTRAS Y RECARGOS'!W16</f>
        <v>209454.54545454547</v>
      </c>
      <c r="D24" s="75"/>
      <c r="E24" s="62" t="s">
        <v>49</v>
      </c>
      <c r="F24" s="75"/>
      <c r="G24" s="75"/>
      <c r="H24" s="74" t="s">
        <v>13</v>
      </c>
      <c r="I24" s="74"/>
      <c r="J24" s="56">
        <v>0.12</v>
      </c>
      <c r="K24" s="100">
        <f t="shared" si="9"/>
        <v>1064980.9090909092</v>
      </c>
      <c r="L24" s="100"/>
      <c r="M24" s="29"/>
      <c r="N24" s="29"/>
      <c r="O24" s="37"/>
      <c r="P24" s="105"/>
      <c r="Q24" s="106"/>
      <c r="R24" s="107"/>
    </row>
    <row r="25" spans="1:20" ht="20.100000000000001" customHeight="1" x14ac:dyDescent="0.25">
      <c r="A25" s="64" t="s">
        <v>58</v>
      </c>
      <c r="B25" s="65"/>
      <c r="C25" s="75">
        <f>+H9</f>
        <v>900000</v>
      </c>
      <c r="D25" s="75"/>
      <c r="E25" s="62" t="s">
        <v>30</v>
      </c>
      <c r="F25" s="75">
        <f>+O16</f>
        <v>0</v>
      </c>
      <c r="G25" s="75"/>
      <c r="H25" s="74" t="s">
        <v>48</v>
      </c>
      <c r="I25" s="74"/>
      <c r="J25" s="57">
        <v>2.436E-2</v>
      </c>
      <c r="K25" s="100">
        <f>($C$16/30*$D$2+$C$22+$C$23+$C$24+$C$25-C27)*J25</f>
        <v>205716.32454545455</v>
      </c>
      <c r="L25" s="100"/>
      <c r="M25" s="29"/>
      <c r="N25" s="29"/>
      <c r="O25" s="37"/>
      <c r="P25" s="105"/>
      <c r="Q25" s="106"/>
      <c r="R25" s="107"/>
    </row>
    <row r="26" spans="1:20" ht="20.100000000000001" customHeight="1" x14ac:dyDescent="0.25">
      <c r="A26" s="64" t="s">
        <v>84</v>
      </c>
      <c r="B26" s="65"/>
      <c r="C26" s="75"/>
      <c r="D26" s="75"/>
      <c r="E26" s="62" t="s">
        <v>31</v>
      </c>
      <c r="F26" s="75"/>
      <c r="G26" s="75"/>
      <c r="H26" s="74"/>
      <c r="I26" s="74"/>
      <c r="J26" s="32"/>
      <c r="K26" s="100"/>
      <c r="L26" s="100"/>
      <c r="M26" s="29"/>
      <c r="N26" s="29"/>
      <c r="O26" s="37"/>
      <c r="P26" s="105"/>
      <c r="Q26" s="106"/>
      <c r="R26" s="107"/>
    </row>
    <row r="27" spans="1:20" ht="20.100000000000001" customHeight="1" x14ac:dyDescent="0.25">
      <c r="A27" s="64" t="s">
        <v>59</v>
      </c>
      <c r="B27" s="65"/>
      <c r="C27" s="72">
        <f>+I6+I8+I12</f>
        <v>430000.00000000006</v>
      </c>
      <c r="D27" s="72"/>
      <c r="E27" s="62" t="s">
        <v>70</v>
      </c>
      <c r="F27" s="72">
        <f>+P16</f>
        <v>90000</v>
      </c>
      <c r="G27" s="72"/>
      <c r="H27" s="74"/>
      <c r="I27" s="74"/>
      <c r="J27" s="32"/>
      <c r="K27" s="117"/>
      <c r="L27" s="117"/>
      <c r="M27" s="29"/>
      <c r="N27" s="29"/>
      <c r="O27" s="38"/>
      <c r="P27" s="105"/>
      <c r="Q27" s="106"/>
      <c r="R27" s="107"/>
    </row>
    <row r="28" spans="1:20" ht="20.100000000000001" customHeight="1" x14ac:dyDescent="0.25">
      <c r="A28" s="64" t="s">
        <v>60</v>
      </c>
      <c r="B28" s="65"/>
      <c r="C28" s="72">
        <f>+I9</f>
        <v>300000</v>
      </c>
      <c r="D28" s="72"/>
      <c r="E28" s="62"/>
      <c r="F28" s="72"/>
      <c r="G28" s="72"/>
      <c r="H28" s="74"/>
      <c r="I28" s="74"/>
      <c r="J28" s="32"/>
      <c r="K28" s="117"/>
      <c r="L28" s="117"/>
      <c r="M28" s="29"/>
      <c r="N28" s="29"/>
      <c r="O28" s="38"/>
      <c r="P28" s="105"/>
      <c r="Q28" s="106"/>
      <c r="R28" s="107"/>
    </row>
    <row r="29" spans="1:20" ht="20.100000000000001" customHeight="1" x14ac:dyDescent="0.25">
      <c r="A29" s="64" t="s">
        <v>61</v>
      </c>
      <c r="B29" s="65"/>
      <c r="C29" s="72"/>
      <c r="D29" s="72"/>
      <c r="E29" s="62"/>
      <c r="F29" s="72"/>
      <c r="G29" s="72"/>
      <c r="H29" s="74"/>
      <c r="I29" s="74"/>
      <c r="J29" s="32"/>
      <c r="K29" s="117"/>
      <c r="L29" s="117"/>
      <c r="M29" s="29"/>
      <c r="N29" s="29"/>
      <c r="O29" s="38"/>
      <c r="P29" s="105"/>
      <c r="Q29" s="106"/>
      <c r="R29" s="107"/>
    </row>
    <row r="30" spans="1:20" s="26" customFormat="1" ht="25.5" customHeight="1" x14ac:dyDescent="0.25">
      <c r="A30" s="66" t="s">
        <v>22</v>
      </c>
      <c r="B30" s="67"/>
      <c r="C30" s="73">
        <f>SUM(C20:D29)</f>
        <v>9494840.9090909101</v>
      </c>
      <c r="D30" s="73"/>
      <c r="E30" s="42" t="s">
        <v>52</v>
      </c>
      <c r="F30" s="73">
        <f>SUM(F20:G29)</f>
        <v>1868582.7272727273</v>
      </c>
      <c r="G30" s="73"/>
      <c r="H30" s="114" t="s">
        <v>53</v>
      </c>
      <c r="I30" s="115"/>
      <c r="J30" s="116"/>
      <c r="K30" s="118">
        <f>SUM(K20:L29)</f>
        <v>1625690.87</v>
      </c>
      <c r="L30" s="119"/>
      <c r="M30" s="111" t="s">
        <v>54</v>
      </c>
      <c r="N30" s="112"/>
      <c r="O30" s="40">
        <f>SUM(O20:O29)</f>
        <v>1949864.7128787879</v>
      </c>
      <c r="P30" s="105"/>
      <c r="Q30" s="106"/>
      <c r="R30" s="107"/>
    </row>
    <row r="31" spans="1:20" x14ac:dyDescent="0.25">
      <c r="A31" s="68" t="s">
        <v>23</v>
      </c>
      <c r="B31" s="69"/>
      <c r="C31" s="69"/>
      <c r="D31" s="69"/>
      <c r="E31" s="69"/>
      <c r="F31" s="69"/>
      <c r="G31" s="69"/>
      <c r="H31" s="69"/>
      <c r="I31" s="69" t="s">
        <v>24</v>
      </c>
      <c r="J31" s="69"/>
      <c r="K31" s="69"/>
      <c r="L31" s="69"/>
      <c r="M31" s="69"/>
      <c r="N31" s="69"/>
      <c r="O31" s="69"/>
      <c r="P31" s="105"/>
      <c r="Q31" s="106"/>
      <c r="R31" s="107"/>
    </row>
    <row r="32" spans="1:20" x14ac:dyDescent="0.25">
      <c r="A32" s="68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105"/>
      <c r="Q32" s="106"/>
      <c r="R32" s="107"/>
    </row>
    <row r="33" spans="1:18" ht="15.75" thickBot="1" x14ac:dyDescent="0.3">
      <c r="A33" s="70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108"/>
      <c r="Q33" s="109"/>
      <c r="R33" s="110"/>
    </row>
    <row r="35" spans="1:18" x14ac:dyDescent="0.25">
      <c r="J35" s="44"/>
    </row>
  </sheetData>
  <mergeCells count="98">
    <mergeCell ref="P17:R19"/>
    <mergeCell ref="H18:L18"/>
    <mergeCell ref="M18:O18"/>
    <mergeCell ref="A18:D18"/>
    <mergeCell ref="A19:B19"/>
    <mergeCell ref="E18:G18"/>
    <mergeCell ref="C19:D19"/>
    <mergeCell ref="F19:G19"/>
    <mergeCell ref="H19:I19"/>
    <mergeCell ref="K19:L19"/>
    <mergeCell ref="P2:R2"/>
    <mergeCell ref="P4:P5"/>
    <mergeCell ref="Q4:Q5"/>
    <mergeCell ref="R3:R5"/>
    <mergeCell ref="N4:N5"/>
    <mergeCell ref="O4:O5"/>
    <mergeCell ref="K30:L30"/>
    <mergeCell ref="H20:I20"/>
    <mergeCell ref="B4:B5"/>
    <mergeCell ref="C4:C5"/>
    <mergeCell ref="D4:D5"/>
    <mergeCell ref="F4:F5"/>
    <mergeCell ref="K24:L24"/>
    <mergeCell ref="K25:L25"/>
    <mergeCell ref="K26:L26"/>
    <mergeCell ref="K27:L27"/>
    <mergeCell ref="C20:D20"/>
    <mergeCell ref="C21:D21"/>
    <mergeCell ref="C22:D22"/>
    <mergeCell ref="C23:D23"/>
    <mergeCell ref="C24:D24"/>
    <mergeCell ref="K20:L20"/>
    <mergeCell ref="K21:L21"/>
    <mergeCell ref="K28:L28"/>
    <mergeCell ref="K29:L29"/>
    <mergeCell ref="F20:G20"/>
    <mergeCell ref="F21:G21"/>
    <mergeCell ref="F22:G22"/>
    <mergeCell ref="F23:G23"/>
    <mergeCell ref="F24:G24"/>
    <mergeCell ref="F25:G25"/>
    <mergeCell ref="F26:G26"/>
    <mergeCell ref="F27:G27"/>
    <mergeCell ref="P20:Q20"/>
    <mergeCell ref="P21:Q21"/>
    <mergeCell ref="P22:Q22"/>
    <mergeCell ref="K22:L22"/>
    <mergeCell ref="K23:L23"/>
    <mergeCell ref="P23:R33"/>
    <mergeCell ref="M30:N30"/>
    <mergeCell ref="I31:O33"/>
    <mergeCell ref="H21:I21"/>
    <mergeCell ref="H22:I22"/>
    <mergeCell ref="H23:I23"/>
    <mergeCell ref="H24:I24"/>
    <mergeCell ref="H25:I25"/>
    <mergeCell ref="H26:I26"/>
    <mergeCell ref="H27:I27"/>
    <mergeCell ref="H30:J30"/>
    <mergeCell ref="A3:A5"/>
    <mergeCell ref="A1:R1"/>
    <mergeCell ref="A2:B2"/>
    <mergeCell ref="A16:B16"/>
    <mergeCell ref="A17:O17"/>
    <mergeCell ref="G2:J2"/>
    <mergeCell ref="E2:F2"/>
    <mergeCell ref="G4:G5"/>
    <mergeCell ref="H4:H5"/>
    <mergeCell ref="I4:I5"/>
    <mergeCell ref="M4:M5"/>
    <mergeCell ref="K2:O2"/>
    <mergeCell ref="B3:D3"/>
    <mergeCell ref="E3:J3"/>
    <mergeCell ref="K3:Q3"/>
    <mergeCell ref="J4:J5"/>
    <mergeCell ref="A20:B20"/>
    <mergeCell ref="A21:B21"/>
    <mergeCell ref="A22:B22"/>
    <mergeCell ref="A23:B23"/>
    <mergeCell ref="A24:B24"/>
    <mergeCell ref="A25:B25"/>
    <mergeCell ref="A26:B26"/>
    <mergeCell ref="C28:D28"/>
    <mergeCell ref="A27:B27"/>
    <mergeCell ref="A28:B28"/>
    <mergeCell ref="C25:D25"/>
    <mergeCell ref="C26:D26"/>
    <mergeCell ref="C27:D27"/>
    <mergeCell ref="A29:B29"/>
    <mergeCell ref="A30:B30"/>
    <mergeCell ref="A31:H33"/>
    <mergeCell ref="C29:D29"/>
    <mergeCell ref="F28:G28"/>
    <mergeCell ref="F29:G29"/>
    <mergeCell ref="C30:D30"/>
    <mergeCell ref="H28:I28"/>
    <mergeCell ref="H29:I29"/>
    <mergeCell ref="F30:G30"/>
  </mergeCells>
  <dataValidations count="2">
    <dataValidation type="list" allowBlank="1" showInputMessage="1" showErrorMessage="1" sqref="H18:L18" xr:uid="{F4C34066-4ACB-497D-AAB5-CDC625593156}">
      <formula1>"Aportante con exención de Parafiscales y Salud, Aportante sin exención aportes a Parafiscales y Salud"</formula1>
    </dataValidation>
    <dataValidation type="list" allowBlank="1" showInputMessage="1" showErrorMessage="1" sqref="C2" xr:uid="{351ACA81-35AF-4BA0-BE7A-E6CE754E55CC}">
      <formula1>"Día, Semanal, Decadal, Quincenal, Mensual"</formula1>
    </dataValidation>
  </dataValidations>
  <pageMargins left="0.56000000000000005" right="0.70866141732283472" top="0.8" bottom="0.74803149606299213" header="0.31496062992125984" footer="0.31496062992125984"/>
  <pageSetup paperSize="5" scale="67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X16"/>
  <sheetViews>
    <sheetView topLeftCell="P4" zoomScale="240" zoomScaleNormal="240" workbookViewId="0">
      <selection activeCell="U6" sqref="U6:U11"/>
    </sheetView>
  </sheetViews>
  <sheetFormatPr baseColWidth="10" defaultRowHeight="15" x14ac:dyDescent="0.25"/>
  <cols>
    <col min="1" max="1" width="23.85546875" bestFit="1" customWidth="1"/>
    <col min="5" max="5" width="12.5703125" bestFit="1" customWidth="1"/>
  </cols>
  <sheetData>
    <row r="1" spans="1:24" x14ac:dyDescent="0.25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</row>
    <row r="2" spans="1:24" x14ac:dyDescent="0.25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</row>
    <row r="3" spans="1:24" x14ac:dyDescent="0.25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</row>
    <row r="4" spans="1:24" s="3" customFormat="1" ht="17.25" customHeight="1" x14ac:dyDescent="0.25">
      <c r="A4" s="149" t="s">
        <v>7</v>
      </c>
      <c r="B4" s="149" t="s">
        <v>8</v>
      </c>
      <c r="C4" s="146" t="s">
        <v>40</v>
      </c>
      <c r="D4" s="146"/>
      <c r="E4" s="146"/>
      <c r="F4" s="147" t="s">
        <v>41</v>
      </c>
      <c r="G4" s="147"/>
      <c r="H4" s="147"/>
      <c r="I4" s="146" t="s">
        <v>42</v>
      </c>
      <c r="J4" s="146"/>
      <c r="K4" s="146"/>
      <c r="L4" s="147" t="s">
        <v>43</v>
      </c>
      <c r="M4" s="147"/>
      <c r="N4" s="147"/>
      <c r="O4" s="146" t="s">
        <v>44</v>
      </c>
      <c r="P4" s="146"/>
      <c r="Q4" s="146"/>
      <c r="R4" s="147" t="s">
        <v>45</v>
      </c>
      <c r="S4" s="147"/>
      <c r="T4" s="147"/>
      <c r="U4" s="146" t="s">
        <v>46</v>
      </c>
      <c r="V4" s="146"/>
      <c r="W4" s="146"/>
      <c r="X4" s="148" t="s">
        <v>47</v>
      </c>
    </row>
    <row r="5" spans="1:24" s="2" customFormat="1" x14ac:dyDescent="0.25">
      <c r="A5" s="149"/>
      <c r="B5" s="149"/>
      <c r="C5" s="6" t="s">
        <v>37</v>
      </c>
      <c r="D5" s="6" t="s">
        <v>38</v>
      </c>
      <c r="E5" s="6" t="s">
        <v>39</v>
      </c>
      <c r="F5" s="8" t="s">
        <v>37</v>
      </c>
      <c r="G5" s="8" t="s">
        <v>38</v>
      </c>
      <c r="H5" s="8" t="s">
        <v>39</v>
      </c>
      <c r="I5" s="6" t="s">
        <v>37</v>
      </c>
      <c r="J5" s="6" t="s">
        <v>38</v>
      </c>
      <c r="K5" s="6" t="s">
        <v>39</v>
      </c>
      <c r="L5" s="8" t="s">
        <v>37</v>
      </c>
      <c r="M5" s="8" t="s">
        <v>38</v>
      </c>
      <c r="N5" s="8" t="s">
        <v>39</v>
      </c>
      <c r="O5" s="6" t="s">
        <v>37</v>
      </c>
      <c r="P5" s="6" t="s">
        <v>38</v>
      </c>
      <c r="Q5" s="6" t="s">
        <v>39</v>
      </c>
      <c r="R5" s="8" t="s">
        <v>37</v>
      </c>
      <c r="S5" s="8" t="s">
        <v>38</v>
      </c>
      <c r="T5" s="8" t="s">
        <v>39</v>
      </c>
      <c r="U5" s="6" t="s">
        <v>37</v>
      </c>
      <c r="V5" s="6" t="s">
        <v>38</v>
      </c>
      <c r="W5" s="6" t="s">
        <v>39</v>
      </c>
      <c r="X5" s="148"/>
    </row>
    <row r="6" spans="1:24" x14ac:dyDescent="0.25">
      <c r="A6" s="1" t="str">
        <f>+'PLANILLA NOMINA'!B6</f>
        <v>GABRIELA FORERO</v>
      </c>
      <c r="B6" s="4">
        <f>+'PLANILLA NOMINA'!C6</f>
        <v>3000000</v>
      </c>
      <c r="C6" s="5"/>
      <c r="D6" s="139">
        <v>1.25</v>
      </c>
      <c r="E6" s="7">
        <f>+B6/'PLANILLA NOMINA'!$R$22*'HORAS EXTRAS Y RECARGOS'!$D$6*'HORAS EXTRAS Y RECARGOS'!C6</f>
        <v>0</v>
      </c>
      <c r="F6" s="9"/>
      <c r="G6" s="139">
        <v>1.75</v>
      </c>
      <c r="H6" s="10">
        <f>+B6/'PLANILLA NOMINA'!$R$22*'HORAS EXTRAS Y RECARGOS'!$G$6*'HORAS EXTRAS Y RECARGOS'!F6</f>
        <v>0</v>
      </c>
      <c r="I6" s="5"/>
      <c r="J6" s="139">
        <v>0.35</v>
      </c>
      <c r="K6" s="7">
        <f>+B6/'PLANILLA NOMINA'!$R$22*'HORAS EXTRAS Y RECARGOS'!$J$6*'HORAS EXTRAS Y RECARGOS'!I6</f>
        <v>0</v>
      </c>
      <c r="L6" s="9"/>
      <c r="M6" s="139">
        <v>2.0499999999999998</v>
      </c>
      <c r="N6" s="10">
        <f>+B6/'PLANILLA NOMINA'!$R$22*'HORAS EXTRAS Y RECARGOS'!$M$6*'HORAS EXTRAS Y RECARGOS'!L6</f>
        <v>0</v>
      </c>
      <c r="O6" s="5"/>
      <c r="P6" s="139">
        <v>2.5499999999999998</v>
      </c>
      <c r="Q6" s="7">
        <f>+B6/'PLANILLA NOMINA'!$R$22*$P$6*O6</f>
        <v>0</v>
      </c>
      <c r="R6" s="9"/>
      <c r="S6" s="139">
        <v>1.1499999999999999</v>
      </c>
      <c r="T6" s="7">
        <f>B6/'PLANILLA NOMINA'!$R$22*$S$6*R6</f>
        <v>0</v>
      </c>
      <c r="U6" s="60"/>
      <c r="V6" s="139">
        <v>1.8</v>
      </c>
      <c r="W6" s="7">
        <f>+B6/'PLANILLA NOMINA'!$R$22*$V$6*U6</f>
        <v>0</v>
      </c>
      <c r="X6" s="14">
        <f>SUM(E6,H6,K6,N6,Q6,T6,W6)</f>
        <v>0</v>
      </c>
    </row>
    <row r="7" spans="1:24" x14ac:dyDescent="0.25">
      <c r="A7" s="1" t="str">
        <f>+'PLANILLA NOMINA'!B7</f>
        <v>LUCIANA GALINDO</v>
      </c>
      <c r="B7" s="4">
        <f>+'PLANILLA NOMINA'!C7</f>
        <v>1600000</v>
      </c>
      <c r="C7" s="5">
        <v>15</v>
      </c>
      <c r="D7" s="140"/>
      <c r="E7" s="7">
        <f>B7/'PLANILLA NOMINA'!$R$22*'HORAS EXTRAS Y RECARGOS'!$D$6*'HORAS EXTRAS Y RECARGOS'!C7</f>
        <v>136363.63636363638</v>
      </c>
      <c r="F7" s="9"/>
      <c r="G7" s="140"/>
      <c r="H7" s="10">
        <f>+B7/'PLANILLA NOMINA'!$R$22*'HORAS EXTRAS Y RECARGOS'!$G$6*'HORAS EXTRAS Y RECARGOS'!F7</f>
        <v>0</v>
      </c>
      <c r="I7" s="5"/>
      <c r="J7" s="140"/>
      <c r="K7" s="7">
        <f>+B7/'PLANILLA NOMINA'!$R$22*'HORAS EXTRAS Y RECARGOS'!$J$6*'HORAS EXTRAS Y RECARGOS'!I7</f>
        <v>0</v>
      </c>
      <c r="L7" s="9"/>
      <c r="M7" s="140"/>
      <c r="N7" s="10">
        <f>+B7/'PLANILLA NOMINA'!$R$22*'HORAS EXTRAS Y RECARGOS'!$M$6*'HORAS EXTRAS Y RECARGOS'!L7</f>
        <v>0</v>
      </c>
      <c r="O7" s="5"/>
      <c r="P7" s="140"/>
      <c r="Q7" s="7">
        <f>+B7/'PLANILLA NOMINA'!$R$22*$P$6*O7</f>
        <v>0</v>
      </c>
      <c r="R7" s="9"/>
      <c r="S7" s="140"/>
      <c r="T7" s="7">
        <f>B7/'PLANILLA NOMINA'!$R$22*$S$6*R7</f>
        <v>0</v>
      </c>
      <c r="U7" s="60">
        <v>8</v>
      </c>
      <c r="V7" s="140"/>
      <c r="W7" s="7">
        <f>+B7/'PLANILLA NOMINA'!$R$22*$V$6*U7</f>
        <v>104727.27272727274</v>
      </c>
      <c r="X7" s="14">
        <f t="shared" ref="X7:X15" si="0">SUM(E7,H7,K7,N7,Q7,T7,W7)</f>
        <v>241090.90909090912</v>
      </c>
    </row>
    <row r="8" spans="1:24" x14ac:dyDescent="0.25">
      <c r="A8" s="1" t="str">
        <f>+'PLANILLA NOMINA'!B8</f>
        <v>RUPERTO BRAVO</v>
      </c>
      <c r="B8" s="4">
        <f>+'PLANILLA NOMINA'!C8</f>
        <v>1450000</v>
      </c>
      <c r="C8" s="5"/>
      <c r="D8" s="140"/>
      <c r="E8" s="7">
        <f>B8/'PLANILLA NOMINA'!$R$22*'HORAS EXTRAS Y RECARGOS'!$D$6*'HORAS EXTRAS Y RECARGOS'!C8</f>
        <v>0</v>
      </c>
      <c r="F8" s="9">
        <v>8</v>
      </c>
      <c r="G8" s="140"/>
      <c r="H8" s="10">
        <f>+B8/'PLANILLA NOMINA'!$R$22*'HORAS EXTRAS Y RECARGOS'!$G$6*'HORAS EXTRAS Y RECARGOS'!F8</f>
        <v>92272.727272727279</v>
      </c>
      <c r="I8" s="5"/>
      <c r="J8" s="140"/>
      <c r="K8" s="7">
        <f>+B8/'PLANILLA NOMINA'!$R$22*'HORAS EXTRAS Y RECARGOS'!$J$6*'HORAS EXTRAS Y RECARGOS'!I8</f>
        <v>0</v>
      </c>
      <c r="L8" s="9"/>
      <c r="M8" s="140"/>
      <c r="N8" s="10">
        <f>+B8/'PLANILLA NOMINA'!$R$22*'HORAS EXTRAS Y RECARGOS'!$M$6*'HORAS EXTRAS Y RECARGOS'!L8</f>
        <v>0</v>
      </c>
      <c r="O8" s="5"/>
      <c r="P8" s="140"/>
      <c r="Q8" s="7">
        <f>+B8/'PLANILLA NOMINA'!$R$22*$P$6*O8</f>
        <v>0</v>
      </c>
      <c r="R8" s="9"/>
      <c r="S8" s="140"/>
      <c r="T8" s="7">
        <f>B8/'PLANILLA NOMINA'!$R$22*$S$6*R8</f>
        <v>0</v>
      </c>
      <c r="U8" s="60"/>
      <c r="V8" s="140"/>
      <c r="W8" s="7">
        <f>+B8/'PLANILLA NOMINA'!$R$22*$V$6*U8</f>
        <v>0</v>
      </c>
      <c r="X8" s="14">
        <f t="shared" si="0"/>
        <v>92272.727272727279</v>
      </c>
    </row>
    <row r="9" spans="1:24" x14ac:dyDescent="0.25">
      <c r="A9" s="1" t="str">
        <f>+'PLANILLA NOMINA'!B9</f>
        <v>ROSITA GRANADA</v>
      </c>
      <c r="B9" s="4">
        <f>+'PLANILLA NOMINA'!C9</f>
        <v>1423500</v>
      </c>
      <c r="C9" s="5"/>
      <c r="D9" s="140"/>
      <c r="E9" s="7">
        <f>B9/'PLANILLA NOMINA'!$R$22*'HORAS EXTRAS Y RECARGOS'!$D$6*'HORAS EXTRAS Y RECARGOS'!C9</f>
        <v>0</v>
      </c>
      <c r="F9" s="9"/>
      <c r="G9" s="140"/>
      <c r="H9" s="10">
        <f>+B9/'PLANILLA NOMINA'!$R$22*'HORAS EXTRAS Y RECARGOS'!$G$6*'HORAS EXTRAS Y RECARGOS'!F9</f>
        <v>0</v>
      </c>
      <c r="I9" s="5"/>
      <c r="J9" s="140"/>
      <c r="K9" s="7">
        <f>+B9/'PLANILLA NOMINA'!$R$22*'HORAS EXTRAS Y RECARGOS'!$J$6*'HORAS EXTRAS Y RECARGOS'!I9</f>
        <v>0</v>
      </c>
      <c r="L9" s="9"/>
      <c r="M9" s="140"/>
      <c r="N9" s="10">
        <f>+B9/'PLANILLA NOMINA'!$R$22*'HORAS EXTRAS Y RECARGOS'!$M$6*'HORAS EXTRAS Y RECARGOS'!L9</f>
        <v>0</v>
      </c>
      <c r="O9" s="5"/>
      <c r="P9" s="140"/>
      <c r="Q9" s="7">
        <f>+B9/'PLANILLA NOMINA'!$R$22*$P$6*O9</f>
        <v>0</v>
      </c>
      <c r="R9" s="9"/>
      <c r="S9" s="140"/>
      <c r="T9" s="7">
        <f>B9/'PLANILLA NOMINA'!$R$22*$S$6*R9</f>
        <v>0</v>
      </c>
      <c r="U9" s="60"/>
      <c r="V9" s="140"/>
      <c r="W9" s="7">
        <f>+B9/'PLANILLA NOMINA'!$R$22*$V$6*U9</f>
        <v>0</v>
      </c>
      <c r="X9" s="14">
        <f t="shared" si="0"/>
        <v>0</v>
      </c>
    </row>
    <row r="10" spans="1:24" x14ac:dyDescent="0.25">
      <c r="A10" s="1" t="str">
        <f>+'PLANILLA NOMINA'!B10</f>
        <v>COVID ANDRES VAQUERO</v>
      </c>
      <c r="B10" s="4">
        <f>+'PLANILLA NOMINA'!C10</f>
        <v>1600000</v>
      </c>
      <c r="C10" s="5"/>
      <c r="D10" s="140"/>
      <c r="E10" s="7">
        <f>B10/'PLANILLA NOMINA'!$R$22*'HORAS EXTRAS Y RECARGOS'!$D$6*'HORAS EXTRAS Y RECARGOS'!C10</f>
        <v>0</v>
      </c>
      <c r="F10" s="9"/>
      <c r="G10" s="140"/>
      <c r="H10" s="10">
        <f>+B10/'PLANILLA NOMINA'!$R$22*'HORAS EXTRAS Y RECARGOS'!$G$6*'HORAS EXTRAS Y RECARGOS'!F10</f>
        <v>0</v>
      </c>
      <c r="I10" s="5"/>
      <c r="J10" s="140"/>
      <c r="K10" s="7">
        <f>+B10/'PLANILLA NOMINA'!$R$22*'HORAS EXTRAS Y RECARGOS'!$J$6*'HORAS EXTRAS Y RECARGOS'!I10</f>
        <v>0</v>
      </c>
      <c r="L10" s="9"/>
      <c r="M10" s="140"/>
      <c r="N10" s="10">
        <f>+B10/'PLANILLA NOMINA'!$R$22*'HORAS EXTRAS Y RECARGOS'!$M$6*'HORAS EXTRAS Y RECARGOS'!L10</f>
        <v>0</v>
      </c>
      <c r="O10" s="5"/>
      <c r="P10" s="140"/>
      <c r="Q10" s="7">
        <f>+B10/'PLANILLA NOMINA'!$R$22*$P$6*O10</f>
        <v>0</v>
      </c>
      <c r="R10" s="9"/>
      <c r="S10" s="140"/>
      <c r="T10" s="7">
        <f>B10/'PLANILLA NOMINA'!$R$22*$S$6*R10</f>
        <v>0</v>
      </c>
      <c r="U10" s="60">
        <v>8</v>
      </c>
      <c r="V10" s="140"/>
      <c r="W10" s="7">
        <f>+B10/'PLANILLA NOMINA'!$R$22*$V$6*U10</f>
        <v>104727.27272727274</v>
      </c>
      <c r="X10" s="14">
        <f t="shared" si="0"/>
        <v>104727.27272727274</v>
      </c>
    </row>
    <row r="11" spans="1:24" x14ac:dyDescent="0.25">
      <c r="A11" s="1" t="str">
        <f>+'PLANILLA NOMINA'!B11</f>
        <v>ARMANDO CASAS</v>
      </c>
      <c r="B11" s="4">
        <f>+'PLANILLA NOMINA'!C11</f>
        <v>6000000</v>
      </c>
      <c r="C11" s="5"/>
      <c r="D11" s="140"/>
      <c r="E11" s="7">
        <f>B11/'PLANILLA NOMINA'!$R$22*'HORAS EXTRAS Y RECARGOS'!$D$6*'HORAS EXTRAS Y RECARGOS'!C11</f>
        <v>0</v>
      </c>
      <c r="F11" s="9"/>
      <c r="G11" s="140"/>
      <c r="H11" s="10">
        <f>+B11/'PLANILLA NOMINA'!$R$22*'HORAS EXTRAS Y RECARGOS'!$G$6*'HORAS EXTRAS Y RECARGOS'!F11</f>
        <v>0</v>
      </c>
      <c r="I11" s="5"/>
      <c r="J11" s="140"/>
      <c r="K11" s="7">
        <f>+B11/'PLANILLA NOMINA'!$R$22*'HORAS EXTRAS Y RECARGOS'!$J$6*'HORAS EXTRAS Y RECARGOS'!I11</f>
        <v>0</v>
      </c>
      <c r="L11" s="9"/>
      <c r="M11" s="140"/>
      <c r="N11" s="10">
        <f>+B11/'PLANILLA NOMINA'!$R$22*'HORAS EXTRAS Y RECARGOS'!$M$6*'HORAS EXTRAS Y RECARGOS'!L11</f>
        <v>0</v>
      </c>
      <c r="O11" s="5"/>
      <c r="P11" s="140"/>
      <c r="Q11" s="7">
        <f>+B11/'PLANILLA NOMINA'!$R$22*$P$6*O11</f>
        <v>0</v>
      </c>
      <c r="R11" s="9"/>
      <c r="S11" s="140"/>
      <c r="T11" s="7">
        <f>B11/'PLANILLA NOMINA'!$R$22*$S$6*R11</f>
        <v>0</v>
      </c>
      <c r="U11" s="60"/>
      <c r="V11" s="140"/>
      <c r="W11" s="7">
        <f>+B11/'PLANILLA NOMINA'!$R$22*$V$6*U11</f>
        <v>0</v>
      </c>
      <c r="X11" s="14">
        <f t="shared" si="0"/>
        <v>0</v>
      </c>
    </row>
    <row r="12" spans="1:24" x14ac:dyDescent="0.25">
      <c r="A12" s="1">
        <f>+'PLANILLA NOMINA'!B12</f>
        <v>0</v>
      </c>
      <c r="B12" s="4">
        <f>+'PLANILLA NOMINA'!C12</f>
        <v>0</v>
      </c>
      <c r="C12" s="5"/>
      <c r="D12" s="140"/>
      <c r="E12" s="7">
        <f>B12/'PLANILLA NOMINA'!$R$22*'HORAS EXTRAS Y RECARGOS'!$D$6*'HORAS EXTRAS Y RECARGOS'!C12</f>
        <v>0</v>
      </c>
      <c r="F12" s="9"/>
      <c r="G12" s="140"/>
      <c r="H12" s="10">
        <f>+B12/'PLANILLA NOMINA'!$R$22*'HORAS EXTRAS Y RECARGOS'!$G$6*'HORAS EXTRAS Y RECARGOS'!F12</f>
        <v>0</v>
      </c>
      <c r="I12" s="5"/>
      <c r="J12" s="140"/>
      <c r="K12" s="7">
        <f>+B12/'PLANILLA NOMINA'!$R$22*'HORAS EXTRAS Y RECARGOS'!$J$6*'HORAS EXTRAS Y RECARGOS'!I12</f>
        <v>0</v>
      </c>
      <c r="L12" s="9"/>
      <c r="M12" s="140"/>
      <c r="N12" s="10">
        <f>+B12/'PLANILLA NOMINA'!$R$22*'HORAS EXTRAS Y RECARGOS'!$M$6*'HORAS EXTRAS Y RECARGOS'!L12</f>
        <v>0</v>
      </c>
      <c r="O12" s="5"/>
      <c r="P12" s="140"/>
      <c r="Q12" s="7">
        <f>+B12/'PLANILLA NOMINA'!$R$22*$P$6*O12</f>
        <v>0</v>
      </c>
      <c r="R12" s="9"/>
      <c r="S12" s="140"/>
      <c r="T12" s="7">
        <f>B12/'PLANILLA NOMINA'!$R$22*$S$6*R12</f>
        <v>0</v>
      </c>
      <c r="U12" s="5"/>
      <c r="V12" s="140"/>
      <c r="W12" s="7">
        <f>+B12/'PLANILLA NOMINA'!$R$22*$V$6*U12</f>
        <v>0</v>
      </c>
      <c r="X12" s="14">
        <f t="shared" si="0"/>
        <v>0</v>
      </c>
    </row>
    <row r="13" spans="1:24" x14ac:dyDescent="0.25">
      <c r="A13" s="1">
        <f>+'PLANILLA NOMINA'!B13</f>
        <v>0</v>
      </c>
      <c r="B13" s="4">
        <f>+'PLANILLA NOMINA'!C13</f>
        <v>0</v>
      </c>
      <c r="C13" s="5"/>
      <c r="D13" s="140"/>
      <c r="E13" s="7">
        <f>B13/'PLANILLA NOMINA'!$R$22*'HORAS EXTRAS Y RECARGOS'!$D$6*'HORAS EXTRAS Y RECARGOS'!C13</f>
        <v>0</v>
      </c>
      <c r="F13" s="9"/>
      <c r="G13" s="140"/>
      <c r="H13" s="10">
        <f>+B13/'PLANILLA NOMINA'!$R$22*'HORAS EXTRAS Y RECARGOS'!$G$6*'HORAS EXTRAS Y RECARGOS'!F13</f>
        <v>0</v>
      </c>
      <c r="I13" s="5"/>
      <c r="J13" s="140"/>
      <c r="K13" s="7">
        <f>+B13/'PLANILLA NOMINA'!$R$22*'HORAS EXTRAS Y RECARGOS'!$J$6*'HORAS EXTRAS Y RECARGOS'!I13</f>
        <v>0</v>
      </c>
      <c r="L13" s="9"/>
      <c r="M13" s="140"/>
      <c r="N13" s="10">
        <f>+B13/'PLANILLA NOMINA'!$R$22*'HORAS EXTRAS Y RECARGOS'!$M$6*'HORAS EXTRAS Y RECARGOS'!L13</f>
        <v>0</v>
      </c>
      <c r="O13" s="5"/>
      <c r="P13" s="140"/>
      <c r="Q13" s="7">
        <f>+B13/'PLANILLA NOMINA'!$R$22*$P$6*O13</f>
        <v>0</v>
      </c>
      <c r="R13" s="9"/>
      <c r="S13" s="140"/>
      <c r="T13" s="7">
        <f>B13/'PLANILLA NOMINA'!$R$22*$S$6*R13</f>
        <v>0</v>
      </c>
      <c r="U13" s="5"/>
      <c r="V13" s="140"/>
      <c r="W13" s="7">
        <f>+B13/'PLANILLA NOMINA'!$R$22*$V$6*U13</f>
        <v>0</v>
      </c>
      <c r="X13" s="14">
        <f t="shared" si="0"/>
        <v>0</v>
      </c>
    </row>
    <row r="14" spans="1:24" x14ac:dyDescent="0.25">
      <c r="A14" s="1">
        <f>+'PLANILLA NOMINA'!B14</f>
        <v>0</v>
      </c>
      <c r="B14" s="4">
        <f>+'PLANILLA NOMINA'!C14</f>
        <v>0</v>
      </c>
      <c r="C14" s="5"/>
      <c r="D14" s="140"/>
      <c r="E14" s="7">
        <f>B14/'PLANILLA NOMINA'!$R$22*'HORAS EXTRAS Y RECARGOS'!$D$6*'HORAS EXTRAS Y RECARGOS'!C14</f>
        <v>0</v>
      </c>
      <c r="F14" s="9"/>
      <c r="G14" s="140"/>
      <c r="H14" s="10">
        <f>+B14/'PLANILLA NOMINA'!$R$22*'HORAS EXTRAS Y RECARGOS'!$G$6*'HORAS EXTRAS Y RECARGOS'!F14</f>
        <v>0</v>
      </c>
      <c r="I14" s="5"/>
      <c r="J14" s="140"/>
      <c r="K14" s="7">
        <f>+B14/'PLANILLA NOMINA'!$R$22*'HORAS EXTRAS Y RECARGOS'!$J$6*'HORAS EXTRAS Y RECARGOS'!I14</f>
        <v>0</v>
      </c>
      <c r="L14" s="9"/>
      <c r="M14" s="140"/>
      <c r="N14" s="10">
        <f>+B14/'PLANILLA NOMINA'!$R$22*'HORAS EXTRAS Y RECARGOS'!$M$6*'HORAS EXTRAS Y RECARGOS'!L14</f>
        <v>0</v>
      </c>
      <c r="O14" s="5"/>
      <c r="P14" s="140"/>
      <c r="Q14" s="7">
        <f>+B14/'PLANILLA NOMINA'!$R$22*$P$6*O14</f>
        <v>0</v>
      </c>
      <c r="R14" s="9"/>
      <c r="S14" s="140"/>
      <c r="T14" s="7">
        <f>B14/'PLANILLA NOMINA'!$R$22*$S$6*R14</f>
        <v>0</v>
      </c>
      <c r="U14" s="5"/>
      <c r="V14" s="140"/>
      <c r="W14" s="7">
        <f>+B14/'PLANILLA NOMINA'!$R$22*$V$6*U14</f>
        <v>0</v>
      </c>
      <c r="X14" s="14">
        <f t="shared" si="0"/>
        <v>0</v>
      </c>
    </row>
    <row r="15" spans="1:24" x14ac:dyDescent="0.25">
      <c r="A15" s="1">
        <f>+'PLANILLA NOMINA'!B15</f>
        <v>0</v>
      </c>
      <c r="B15" s="4">
        <f>+'PLANILLA NOMINA'!C15</f>
        <v>0</v>
      </c>
      <c r="C15" s="5"/>
      <c r="D15" s="141"/>
      <c r="E15" s="7">
        <f>B15/'PLANILLA NOMINA'!$R$22*'HORAS EXTRAS Y RECARGOS'!$D$6*'HORAS EXTRAS Y RECARGOS'!C15</f>
        <v>0</v>
      </c>
      <c r="F15" s="9"/>
      <c r="G15" s="141"/>
      <c r="H15" s="10">
        <f>+B15/'PLANILLA NOMINA'!$R$22*'HORAS EXTRAS Y RECARGOS'!$G$6*'HORAS EXTRAS Y RECARGOS'!F15</f>
        <v>0</v>
      </c>
      <c r="I15" s="5"/>
      <c r="J15" s="141"/>
      <c r="K15" s="7">
        <f>+B15/'PLANILLA NOMINA'!$R$22*'HORAS EXTRAS Y RECARGOS'!$J$6*'HORAS EXTRAS Y RECARGOS'!I15</f>
        <v>0</v>
      </c>
      <c r="L15" s="9"/>
      <c r="M15" s="141"/>
      <c r="N15" s="10">
        <f>+B15/'PLANILLA NOMINA'!$R$22*'HORAS EXTRAS Y RECARGOS'!$M$6*'HORAS EXTRAS Y RECARGOS'!L15</f>
        <v>0</v>
      </c>
      <c r="O15" s="5"/>
      <c r="P15" s="141"/>
      <c r="Q15" s="7">
        <f>+B15/'PLANILLA NOMINA'!$R$22*$P$6*O15</f>
        <v>0</v>
      </c>
      <c r="R15" s="9"/>
      <c r="S15" s="141"/>
      <c r="T15" s="7">
        <f>B15/'PLANILLA NOMINA'!$R$22*$S$6*R15</f>
        <v>0</v>
      </c>
      <c r="U15" s="5"/>
      <c r="V15" s="141"/>
      <c r="W15" s="7">
        <f>+B15/'PLANILLA NOMINA'!$R$22*$V$6*U15</f>
        <v>0</v>
      </c>
      <c r="X15" s="14">
        <f t="shared" si="0"/>
        <v>0</v>
      </c>
    </row>
    <row r="16" spans="1:24" x14ac:dyDescent="0.25">
      <c r="A16" s="142" t="s">
        <v>17</v>
      </c>
      <c r="B16" s="143"/>
      <c r="C16" s="9"/>
      <c r="D16" s="9"/>
      <c r="E16" s="11">
        <f>SUM(E6:E15)</f>
        <v>136363.63636363638</v>
      </c>
      <c r="F16" s="9"/>
      <c r="G16" s="9"/>
      <c r="H16" s="11">
        <f>SUM(H6:H15)</f>
        <v>92272.727272727279</v>
      </c>
      <c r="I16" s="9"/>
      <c r="J16" s="9"/>
      <c r="K16" s="12">
        <f>SUM(K6:K15)</f>
        <v>0</v>
      </c>
      <c r="L16" s="9"/>
      <c r="M16" s="9"/>
      <c r="N16" s="11">
        <f>SUM(N6:N15)</f>
        <v>0</v>
      </c>
      <c r="O16" s="9"/>
      <c r="P16" s="9"/>
      <c r="Q16" s="11">
        <f>SUM(Q6:Q15)</f>
        <v>0</v>
      </c>
      <c r="R16" s="9"/>
      <c r="S16" s="9"/>
      <c r="T16" s="12">
        <f>SUM(T6:T15)</f>
        <v>0</v>
      </c>
      <c r="U16" s="9"/>
      <c r="V16" s="9"/>
      <c r="W16" s="13">
        <f>SUM(W6:W15)</f>
        <v>209454.54545454547</v>
      </c>
      <c r="X16" s="14">
        <f>SUM(X6:X15)</f>
        <v>438090.90909090918</v>
      </c>
    </row>
  </sheetData>
  <mergeCells count="19">
    <mergeCell ref="A16:B16"/>
    <mergeCell ref="A1:X3"/>
    <mergeCell ref="I4:K4"/>
    <mergeCell ref="L4:N4"/>
    <mergeCell ref="O4:Q4"/>
    <mergeCell ref="R4:T4"/>
    <mergeCell ref="U4:W4"/>
    <mergeCell ref="X4:X5"/>
    <mergeCell ref="A4:A5"/>
    <mergeCell ref="B4:B5"/>
    <mergeCell ref="C4:E4"/>
    <mergeCell ref="F4:H4"/>
    <mergeCell ref="J6:J15"/>
    <mergeCell ref="M6:M15"/>
    <mergeCell ref="P6:P15"/>
    <mergeCell ref="S6:S15"/>
    <mergeCell ref="V6:V15"/>
    <mergeCell ref="D6:D15"/>
    <mergeCell ref="G6:G1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EDCE1-EDCA-4BE0-8C63-49587FB1896B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PLANILLA NOMINA</vt:lpstr>
      <vt:lpstr>HORAS EXTRAS Y RECARGOS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desarrollo</cp:lastModifiedBy>
  <cp:lastPrinted>2024-02-21T22:31:53Z</cp:lastPrinted>
  <dcterms:created xsi:type="dcterms:W3CDTF">2013-08-24T11:34:47Z</dcterms:created>
  <dcterms:modified xsi:type="dcterms:W3CDTF">2025-12-16T15:06:16Z</dcterms:modified>
</cp:coreProperties>
</file>