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F:\Costos y Pptos  2-2025\"/>
    </mc:Choice>
  </mc:AlternateContent>
  <xr:revisionPtr revIDLastSave="0" documentId="13_ncr:1_{D573CADF-F7F9-4D27-A639-D215AEA7BF79}" xr6:coauthVersionLast="47" xr6:coauthVersionMax="47" xr10:uidLastSave="{00000000-0000-0000-0000-000000000000}"/>
  <bookViews>
    <workbookView xWindow="-120" yWindow="-120" windowWidth="20730" windowHeight="11160" firstSheet="10" activeTab="11" xr2:uid="{00000000-000D-0000-FFFF-FFFF00000000}"/>
  </bookViews>
  <sheets>
    <sheet name="Datos Generales" sheetId="1" r:id="rId1"/>
    <sheet name="Incr. %" sheetId="2" r:id="rId2"/>
    <sheet name="Incr. Absoluto" sheetId="3" r:id="rId3"/>
    <sheet name="Min. Cuadrados" sheetId="4" r:id="rId4"/>
    <sheet name="PA-PB" sheetId="5" r:id="rId5"/>
    <sheet name="Resumen Presup de ventas" sheetId="6" r:id="rId6"/>
    <sheet name="Ficha técnica" sheetId="10" r:id="rId7"/>
    <sheet name="Presupuesto de producción" sheetId="7" r:id="rId8"/>
    <sheet name="Presupuesto de consumo de MPD" sheetId="8" r:id="rId9"/>
    <sheet name="Procesos Top-Leggins" sheetId="12" r:id="rId10"/>
    <sheet name="Presupuesto MOD 2026" sheetId="13" r:id="rId11"/>
    <sheet name="Datos Ppto de CIF" sheetId="15" r:id="rId12"/>
    <sheet name="Ppto de Cif" sheetId="16" r:id="rId13"/>
    <sheet name="CEDULA PRESUPUESTAL" sheetId="17" r:id="rId14"/>
    <sheet name="Datos para el presupuesto Final" sheetId="19" r:id="rId15"/>
    <sheet name="E de R " sheetId="18" r:id="rId16"/>
  </sheets>
  <externalReferences>
    <externalReference r:id="rId17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8" i="15" l="1"/>
  <c r="C9" i="15" s="1"/>
  <c r="L11" i="18"/>
  <c r="L36" i="18"/>
  <c r="L34" i="18"/>
  <c r="L39" i="18"/>
  <c r="I39" i="18"/>
  <c r="F39" i="18"/>
  <c r="C39" i="18"/>
  <c r="I36" i="18"/>
  <c r="F36" i="18"/>
  <c r="C36" i="18"/>
  <c r="I34" i="18"/>
  <c r="F34" i="18"/>
  <c r="C34" i="18"/>
  <c r="K26" i="18"/>
  <c r="H26" i="18"/>
  <c r="E26" i="18"/>
  <c r="B26" i="18"/>
  <c r="K18" i="18"/>
  <c r="H18" i="18"/>
  <c r="E18" i="18"/>
  <c r="B18" i="18"/>
  <c r="L17" i="18"/>
  <c r="I17" i="18"/>
  <c r="F17" i="18"/>
  <c r="C17" i="18"/>
  <c r="L15" i="18"/>
  <c r="I15" i="18"/>
  <c r="F15" i="18"/>
  <c r="C15" i="18"/>
  <c r="L13" i="18"/>
  <c r="I13" i="18"/>
  <c r="F13" i="18"/>
  <c r="C13" i="18"/>
  <c r="L12" i="18"/>
  <c r="L33" i="18" s="1"/>
  <c r="L38" i="18" s="1"/>
  <c r="C12" i="18"/>
  <c r="C33" i="18" s="1"/>
  <c r="C38" i="18" s="1"/>
  <c r="B11" i="18"/>
  <c r="C11" i="18" s="1"/>
  <c r="I8" i="18"/>
  <c r="F8" i="18"/>
  <c r="C8" i="18"/>
  <c r="J72" i="8"/>
  <c r="K3" i="15"/>
  <c r="D4" i="16"/>
  <c r="D5" i="16"/>
  <c r="D6" i="16"/>
  <c r="D7" i="16"/>
  <c r="D8" i="16"/>
  <c r="D9" i="16"/>
  <c r="D10" i="16"/>
  <c r="D11" i="16"/>
  <c r="D12" i="16"/>
  <c r="D13" i="16"/>
  <c r="D14" i="16"/>
  <c r="D3" i="16"/>
  <c r="I38" i="15"/>
  <c r="G7" i="16"/>
  <c r="H36" i="15"/>
  <c r="G36" i="15"/>
  <c r="H30" i="15"/>
  <c r="G30" i="15"/>
  <c r="H24" i="15"/>
  <c r="I24" i="15" s="1"/>
  <c r="G24" i="15"/>
  <c r="H17" i="15"/>
  <c r="G17" i="15"/>
  <c r="H13" i="15"/>
  <c r="H18" i="15" s="1"/>
  <c r="G13" i="15"/>
  <c r="G18" i="15" s="1"/>
  <c r="C8" i="15"/>
  <c r="L40" i="18" l="1"/>
  <c r="C40" i="18"/>
  <c r="E11" i="18"/>
  <c r="F11" i="18" s="1"/>
  <c r="H11" i="18"/>
  <c r="I11" i="18" s="1"/>
  <c r="I18" i="15"/>
  <c r="I36" i="15"/>
  <c r="I30" i="15"/>
  <c r="C10" i="15"/>
  <c r="C3" i="16" s="1"/>
  <c r="F12" i="18" l="1"/>
  <c r="F33" i="18" s="1"/>
  <c r="F38" i="18" s="1"/>
  <c r="I12" i="18"/>
  <c r="I33" i="18" s="1"/>
  <c r="I38" i="18" s="1"/>
  <c r="C6" i="16"/>
  <c r="C14" i="16"/>
  <c r="C4" i="16"/>
  <c r="C8" i="16"/>
  <c r="C12" i="16"/>
  <c r="C5" i="16"/>
  <c r="C9" i="16"/>
  <c r="C13" i="16"/>
  <c r="C10" i="16"/>
  <c r="C7" i="16"/>
  <c r="C11" i="16"/>
  <c r="I40" i="18" l="1"/>
  <c r="F40" i="18"/>
  <c r="C15" i="16"/>
  <c r="R5" i="13" l="1"/>
  <c r="L5" i="13"/>
  <c r="H5" i="13"/>
  <c r="D5" i="13"/>
  <c r="B7" i="12"/>
  <c r="D22" i="8" l="1"/>
  <c r="D5" i="8"/>
  <c r="H17" i="10"/>
  <c r="I56" i="8" s="1"/>
  <c r="I57" i="8" s="1"/>
  <c r="I58" i="8" s="1"/>
  <c r="I59" i="8" s="1"/>
  <c r="I60" i="8" s="1"/>
  <c r="I61" i="8" s="1"/>
  <c r="I62" i="8" s="1"/>
  <c r="I63" i="8" s="1"/>
  <c r="I64" i="8" s="1"/>
  <c r="I65" i="8" s="1"/>
  <c r="I66" i="8" s="1"/>
  <c r="I67" i="8" s="1"/>
  <c r="E17" i="10"/>
  <c r="D56" i="8" s="1"/>
  <c r="D17" i="10"/>
  <c r="B17" i="10"/>
  <c r="A53" i="8" s="1"/>
  <c r="H16" i="10"/>
  <c r="I39" i="8" s="1"/>
  <c r="I40" i="8" s="1"/>
  <c r="I41" i="8" s="1"/>
  <c r="I42" i="8" s="1"/>
  <c r="I43" i="8" s="1"/>
  <c r="I44" i="8" s="1"/>
  <c r="I45" i="8" s="1"/>
  <c r="I46" i="8" s="1"/>
  <c r="I47" i="8" s="1"/>
  <c r="I48" i="8" s="1"/>
  <c r="I49" i="8" s="1"/>
  <c r="I50" i="8" s="1"/>
  <c r="E16" i="10"/>
  <c r="D39" i="8" s="1"/>
  <c r="D16" i="10"/>
  <c r="B16" i="10"/>
  <c r="A36" i="8" s="1"/>
  <c r="H15" i="10"/>
  <c r="I22" i="8" s="1"/>
  <c r="I23" i="8" s="1"/>
  <c r="I24" i="8" s="1"/>
  <c r="I25" i="8" s="1"/>
  <c r="I26" i="8" s="1"/>
  <c r="I27" i="8" s="1"/>
  <c r="I28" i="8" s="1"/>
  <c r="I29" i="8" s="1"/>
  <c r="I30" i="8" s="1"/>
  <c r="I31" i="8" s="1"/>
  <c r="I32" i="8" s="1"/>
  <c r="I33" i="8" s="1"/>
  <c r="D15" i="10"/>
  <c r="B15" i="10"/>
  <c r="A19" i="8" s="1"/>
  <c r="H14" i="10"/>
  <c r="I9" i="8" s="1"/>
  <c r="D14" i="10"/>
  <c r="B14" i="10"/>
  <c r="A2" i="8" s="1"/>
  <c r="T6" i="7"/>
  <c r="T4" i="7"/>
  <c r="B23" i="7"/>
  <c r="F3" i="5"/>
  <c r="B8" i="5"/>
  <c r="A8" i="5"/>
  <c r="E3" i="5" s="1"/>
  <c r="B7" i="5"/>
  <c r="A7" i="5"/>
  <c r="B6" i="5"/>
  <c r="A6" i="5"/>
  <c r="B5" i="5"/>
  <c r="A5" i="5"/>
  <c r="B4" i="5"/>
  <c r="A4" i="5"/>
  <c r="A9" i="5" s="1"/>
  <c r="B2" i="5"/>
  <c r="A2" i="5"/>
  <c r="B8" i="4"/>
  <c r="A8" i="4"/>
  <c r="D8" i="4" s="1"/>
  <c r="B7" i="4"/>
  <c r="A7" i="4"/>
  <c r="B6" i="4"/>
  <c r="A6" i="4"/>
  <c r="D6" i="4" s="1"/>
  <c r="B5" i="4"/>
  <c r="A5" i="4"/>
  <c r="D5" i="4" s="1"/>
  <c r="B4" i="4"/>
  <c r="A4" i="4"/>
  <c r="A9" i="4" s="1"/>
  <c r="B2" i="4"/>
  <c r="A2" i="4"/>
  <c r="A3" i="3"/>
  <c r="B3" i="3"/>
  <c r="A4" i="3"/>
  <c r="B4" i="3"/>
  <c r="A5" i="3"/>
  <c r="B5" i="3"/>
  <c r="C5" i="3" s="1"/>
  <c r="A6" i="3"/>
  <c r="B6" i="3"/>
  <c r="A7" i="3"/>
  <c r="B7" i="3"/>
  <c r="B2" i="3"/>
  <c r="A2" i="3"/>
  <c r="A6" i="2"/>
  <c r="B6" i="2"/>
  <c r="A7" i="2"/>
  <c r="B7" i="2"/>
  <c r="A3" i="2"/>
  <c r="B3" i="2"/>
  <c r="A4" i="2"/>
  <c r="B4" i="2"/>
  <c r="A5" i="2"/>
  <c r="B5" i="2"/>
  <c r="C5" i="2" s="1"/>
  <c r="B2" i="2"/>
  <c r="A2" i="2"/>
  <c r="D4" i="1"/>
  <c r="D5" i="1"/>
  <c r="D6" i="1"/>
  <c r="D7" i="1"/>
  <c r="D3" i="1"/>
  <c r="B6" i="8" l="1"/>
  <c r="B10" i="8"/>
  <c r="B14" i="8"/>
  <c r="B7" i="8"/>
  <c r="B11" i="8"/>
  <c r="B15" i="8"/>
  <c r="B8" i="8"/>
  <c r="B12" i="8"/>
  <c r="B16" i="8"/>
  <c r="B9" i="8"/>
  <c r="B13" i="8"/>
  <c r="B5" i="8"/>
  <c r="B23" i="8"/>
  <c r="B27" i="8"/>
  <c r="B31" i="8"/>
  <c r="B24" i="8"/>
  <c r="B28" i="8"/>
  <c r="B32" i="8"/>
  <c r="B25" i="8"/>
  <c r="B29" i="8"/>
  <c r="B33" i="8"/>
  <c r="B26" i="8"/>
  <c r="B30" i="8"/>
  <c r="B22" i="8"/>
  <c r="I16" i="8"/>
  <c r="I12" i="8"/>
  <c r="I8" i="8"/>
  <c r="C6" i="2"/>
  <c r="E4" i="5"/>
  <c r="E5" i="5" s="1"/>
  <c r="B9" i="4"/>
  <c r="C6" i="4"/>
  <c r="B9" i="5"/>
  <c r="F4" i="5"/>
  <c r="D15" i="5" s="1"/>
  <c r="C4" i="2"/>
  <c r="C8" i="2" s="1"/>
  <c r="C9" i="2" s="1"/>
  <c r="C10" i="2" s="1"/>
  <c r="B3" i="6" s="1"/>
  <c r="C7" i="2"/>
  <c r="C6" i="3"/>
  <c r="C4" i="3"/>
  <c r="C7" i="4"/>
  <c r="D7" i="4"/>
  <c r="I15" i="8"/>
  <c r="I11" i="8"/>
  <c r="I7" i="8"/>
  <c r="I14" i="8"/>
  <c r="I10" i="8"/>
  <c r="I6" i="8"/>
  <c r="I5" i="8"/>
  <c r="I13" i="8"/>
  <c r="C4" i="4"/>
  <c r="C5" i="4"/>
  <c r="C8" i="4"/>
  <c r="D4" i="4"/>
  <c r="D9" i="4" s="1"/>
  <c r="C7" i="3"/>
  <c r="C8" i="3" s="1"/>
  <c r="C9" i="3" s="1"/>
  <c r="C10" i="3" s="1"/>
  <c r="B4" i="6" s="1"/>
  <c r="F5" i="5" l="1"/>
  <c r="F6" i="5" s="1"/>
  <c r="C9" i="4"/>
  <c r="B12" i="4" s="1"/>
  <c r="B13" i="4" s="1"/>
  <c r="B14" i="4" s="1"/>
  <c r="E12" i="4" l="1"/>
  <c r="B5" i="6"/>
  <c r="F15" i="5"/>
  <c r="F16" i="5" s="1"/>
  <c r="F17" i="5" s="1"/>
  <c r="A12" i="5" s="1"/>
  <c r="B6" i="6" s="1"/>
  <c r="F9" i="5"/>
  <c r="F10" i="5" s="1"/>
  <c r="F11" i="5" s="1"/>
  <c r="C16" i="17" l="1"/>
  <c r="E16" i="17" s="1"/>
  <c r="C4" i="17"/>
  <c r="E10" i="7"/>
  <c r="E12" i="7" l="1"/>
  <c r="I3" i="7" s="1"/>
  <c r="E21" i="7"/>
  <c r="R3" i="7" s="1"/>
  <c r="E15" i="7"/>
  <c r="L3" i="7" s="1"/>
  <c r="E11" i="7"/>
  <c r="E17" i="7"/>
  <c r="N3" i="7" s="1"/>
  <c r="E22" i="7"/>
  <c r="S3" i="7" s="1"/>
  <c r="S5" i="7" s="1"/>
  <c r="E18" i="7"/>
  <c r="O3" i="7" s="1"/>
  <c r="E13" i="7"/>
  <c r="J3" i="7" s="1"/>
  <c r="E20" i="7"/>
  <c r="Q3" i="7" s="1"/>
  <c r="E14" i="7"/>
  <c r="K3" i="7" s="1"/>
  <c r="E19" i="7"/>
  <c r="P3" i="7" s="1"/>
  <c r="E16" i="7"/>
  <c r="M3" i="7" s="1"/>
  <c r="M4" i="7" l="1"/>
  <c r="N6" i="7" s="1"/>
  <c r="M5" i="7"/>
  <c r="J4" i="7"/>
  <c r="K6" i="7" s="1"/>
  <c r="H3" i="7"/>
  <c r="E23" i="7"/>
  <c r="Q6" i="7"/>
  <c r="P4" i="7"/>
  <c r="P5" i="7"/>
  <c r="O4" i="7"/>
  <c r="P6" i="7" s="1"/>
  <c r="P7" i="7" s="1"/>
  <c r="E13" i="8" s="1"/>
  <c r="O5" i="7"/>
  <c r="O7" i="7" s="1"/>
  <c r="E12" i="8" s="1"/>
  <c r="L4" i="7"/>
  <c r="M6" i="7" s="1"/>
  <c r="L5" i="7"/>
  <c r="K4" i="7"/>
  <c r="L6" i="7" s="1"/>
  <c r="R4" i="7"/>
  <c r="S6" i="7" s="1"/>
  <c r="S7" i="7" s="1"/>
  <c r="E16" i="8" s="1"/>
  <c r="R5" i="7"/>
  <c r="R6" i="7"/>
  <c r="Q4" i="7"/>
  <c r="Q5" i="7"/>
  <c r="N4" i="7"/>
  <c r="O6" i="7" s="1"/>
  <c r="N5" i="7"/>
  <c r="I4" i="7"/>
  <c r="J6" i="7" s="1"/>
  <c r="I5" i="7"/>
  <c r="N7" i="7" l="1"/>
  <c r="E11" i="8" s="1"/>
  <c r="B13" i="13"/>
  <c r="E29" i="8"/>
  <c r="G12" i="8"/>
  <c r="F13" i="8" s="1"/>
  <c r="H13" i="8" s="1"/>
  <c r="J13" i="8" s="1"/>
  <c r="R7" i="7"/>
  <c r="E15" i="8" s="1"/>
  <c r="L7" i="7"/>
  <c r="E9" i="8" s="1"/>
  <c r="B14" i="13"/>
  <c r="G13" i="8"/>
  <c r="F14" i="8" s="1"/>
  <c r="E30" i="8"/>
  <c r="M7" i="7"/>
  <c r="E10" i="8" s="1"/>
  <c r="I7" i="7"/>
  <c r="E6" i="8" s="1"/>
  <c r="Q7" i="7"/>
  <c r="E14" i="8" s="1"/>
  <c r="B17" i="13"/>
  <c r="G16" i="8"/>
  <c r="E33" i="8"/>
  <c r="H4" i="7"/>
  <c r="I6" i="7" s="1"/>
  <c r="T3" i="7"/>
  <c r="T5" i="7" s="1"/>
  <c r="T7" i="7" s="1"/>
  <c r="H5" i="7"/>
  <c r="H7" i="7" s="1"/>
  <c r="E5" i="8" s="1"/>
  <c r="K5" i="7"/>
  <c r="K7" i="7" s="1"/>
  <c r="E8" i="8" s="1"/>
  <c r="J5" i="7"/>
  <c r="J7" i="7" s="1"/>
  <c r="E7" i="8" s="1"/>
  <c r="G8" i="8" l="1"/>
  <c r="F9" i="8" s="1"/>
  <c r="E25" i="8"/>
  <c r="B9" i="13"/>
  <c r="G33" i="8"/>
  <c r="E50" i="8"/>
  <c r="E23" i="8"/>
  <c r="B7" i="13"/>
  <c r="G6" i="8"/>
  <c r="F7" i="8" s="1"/>
  <c r="H7" i="8" s="1"/>
  <c r="J7" i="8" s="1"/>
  <c r="C14" i="13"/>
  <c r="D14" i="13" s="1"/>
  <c r="E14" i="13" s="1"/>
  <c r="B11" i="16"/>
  <c r="E11" i="16" s="1"/>
  <c r="E22" i="8"/>
  <c r="B6" i="13"/>
  <c r="G5" i="8"/>
  <c r="F6" i="8" s="1"/>
  <c r="H6" i="8" s="1"/>
  <c r="J6" i="8" s="1"/>
  <c r="F5" i="8"/>
  <c r="E27" i="8"/>
  <c r="B11" i="13"/>
  <c r="G10" i="8"/>
  <c r="F11" i="8" s="1"/>
  <c r="G9" i="8"/>
  <c r="F10" i="8" s="1"/>
  <c r="H10" i="8" s="1"/>
  <c r="J10" i="8" s="1"/>
  <c r="E26" i="8"/>
  <c r="B10" i="13"/>
  <c r="E46" i="8"/>
  <c r="G29" i="8"/>
  <c r="F30" i="8" s="1"/>
  <c r="C17" i="13"/>
  <c r="D17" i="13" s="1"/>
  <c r="E17" i="13" s="1"/>
  <c r="B14" i="16"/>
  <c r="E14" i="16" s="1"/>
  <c r="E47" i="8"/>
  <c r="G30" i="8"/>
  <c r="F31" i="8" s="1"/>
  <c r="B16" i="13"/>
  <c r="G15" i="8"/>
  <c r="F16" i="8" s="1"/>
  <c r="H16" i="8" s="1"/>
  <c r="J16" i="8" s="1"/>
  <c r="E32" i="8"/>
  <c r="H15" i="8"/>
  <c r="J15" i="8" s="1"/>
  <c r="C13" i="13"/>
  <c r="D13" i="13" s="1"/>
  <c r="E13" i="13" s="1"/>
  <c r="B10" i="16"/>
  <c r="E10" i="16" s="1"/>
  <c r="B8" i="13"/>
  <c r="G7" i="8"/>
  <c r="F8" i="8" s="1"/>
  <c r="H8" i="8" s="1"/>
  <c r="J8" i="8" s="1"/>
  <c r="E24" i="8"/>
  <c r="G14" i="8"/>
  <c r="F15" i="8" s="1"/>
  <c r="E31" i="8"/>
  <c r="B15" i="13"/>
  <c r="B12" i="13"/>
  <c r="E28" i="8"/>
  <c r="G11" i="8"/>
  <c r="F12" i="8" s="1"/>
  <c r="H12" i="8" s="1"/>
  <c r="J12" i="8" s="1"/>
  <c r="C15" i="13" l="1"/>
  <c r="D15" i="13" s="1"/>
  <c r="E15" i="13" s="1"/>
  <c r="B12" i="16"/>
  <c r="E12" i="16" s="1"/>
  <c r="G24" i="8"/>
  <c r="F25" i="8" s="1"/>
  <c r="E41" i="8"/>
  <c r="H24" i="8"/>
  <c r="J24" i="8" s="1"/>
  <c r="F13" i="13"/>
  <c r="G13" i="13"/>
  <c r="C16" i="13"/>
  <c r="D16" i="13" s="1"/>
  <c r="E16" i="13" s="1"/>
  <c r="B13" i="16"/>
  <c r="E13" i="16" s="1"/>
  <c r="E45" i="8"/>
  <c r="G28" i="8"/>
  <c r="F29" i="8" s="1"/>
  <c r="H29" i="8" s="1"/>
  <c r="J29" i="8" s="1"/>
  <c r="H28" i="8"/>
  <c r="J28" i="8" s="1"/>
  <c r="E48" i="8"/>
  <c r="G31" i="8"/>
  <c r="F32" i="8" s="1"/>
  <c r="H31" i="8"/>
  <c r="J31" i="8" s="1"/>
  <c r="C10" i="13"/>
  <c r="D10" i="13" s="1"/>
  <c r="E10" i="13" s="1"/>
  <c r="B7" i="16"/>
  <c r="C11" i="13"/>
  <c r="D11" i="13" s="1"/>
  <c r="E11" i="13" s="1"/>
  <c r="B8" i="16"/>
  <c r="E8" i="16" s="1"/>
  <c r="C12" i="13"/>
  <c r="D12" i="13" s="1"/>
  <c r="E12" i="13" s="1"/>
  <c r="B9" i="16"/>
  <c r="E9" i="16" s="1"/>
  <c r="C8" i="13"/>
  <c r="D8" i="13" s="1"/>
  <c r="E8" i="13" s="1"/>
  <c r="B5" i="16"/>
  <c r="E49" i="8"/>
  <c r="G32" i="8"/>
  <c r="F33" i="8" s="1"/>
  <c r="H33" i="8" s="1"/>
  <c r="J33" i="8" s="1"/>
  <c r="E64" i="8"/>
  <c r="G47" i="8"/>
  <c r="F48" i="8" s="1"/>
  <c r="H30" i="8"/>
  <c r="J30" i="8" s="1"/>
  <c r="E43" i="8"/>
  <c r="G26" i="8"/>
  <c r="F27" i="8" s="1"/>
  <c r="H27" i="8" s="1"/>
  <c r="J27" i="8" s="1"/>
  <c r="E44" i="8"/>
  <c r="G27" i="8"/>
  <c r="F28" i="8" s="1"/>
  <c r="C6" i="13"/>
  <c r="B3" i="16"/>
  <c r="E3" i="16" s="1"/>
  <c r="B18" i="13"/>
  <c r="H14" i="8"/>
  <c r="J14" i="8" s="1"/>
  <c r="G46" i="8"/>
  <c r="F47" i="8" s="1"/>
  <c r="E63" i="8"/>
  <c r="H5" i="8"/>
  <c r="J5" i="8" s="1"/>
  <c r="G22" i="8"/>
  <c r="F23" i="8" s="1"/>
  <c r="E39" i="8"/>
  <c r="F22" i="8"/>
  <c r="H22" i="8" s="1"/>
  <c r="J22" i="8" s="1"/>
  <c r="C7" i="13"/>
  <c r="D7" i="13" s="1"/>
  <c r="E7" i="13" s="1"/>
  <c r="B4" i="16"/>
  <c r="E4" i="16" s="1"/>
  <c r="C9" i="13"/>
  <c r="D9" i="13" s="1"/>
  <c r="E9" i="13" s="1"/>
  <c r="B6" i="16"/>
  <c r="E6" i="16" s="1"/>
  <c r="G17" i="13"/>
  <c r="F17" i="13"/>
  <c r="H9" i="8"/>
  <c r="J9" i="8" s="1"/>
  <c r="H11" i="8"/>
  <c r="J11" i="8" s="1"/>
  <c r="E40" i="8"/>
  <c r="G23" i="8"/>
  <c r="F24" i="8" s="1"/>
  <c r="G25" i="8"/>
  <c r="F26" i="8" s="1"/>
  <c r="H26" i="8" s="1"/>
  <c r="J26" i="8" s="1"/>
  <c r="E42" i="8"/>
  <c r="F14" i="13"/>
  <c r="G14" i="13"/>
  <c r="G50" i="8"/>
  <c r="E67" i="8"/>
  <c r="J34" i="8" l="1"/>
  <c r="F9" i="13"/>
  <c r="G9" i="13"/>
  <c r="E61" i="8"/>
  <c r="G44" i="8"/>
  <c r="F45" i="8" s="1"/>
  <c r="H45" i="8" s="1"/>
  <c r="J45" i="8" s="1"/>
  <c r="E7" i="16"/>
  <c r="E65" i="8"/>
  <c r="G48" i="8"/>
  <c r="F49" i="8" s="1"/>
  <c r="H49" i="8" s="1"/>
  <c r="J49" i="8" s="1"/>
  <c r="G15" i="13"/>
  <c r="F15" i="13"/>
  <c r="Q14" i="13"/>
  <c r="P14" i="13"/>
  <c r="I14" i="13"/>
  <c r="J14" i="13"/>
  <c r="H14" i="13"/>
  <c r="K14" i="13"/>
  <c r="I17" i="13"/>
  <c r="H17" i="13"/>
  <c r="Q17" i="13"/>
  <c r="P17" i="13"/>
  <c r="J17" i="13"/>
  <c r="K17" i="13"/>
  <c r="E56" i="8"/>
  <c r="G39" i="8"/>
  <c r="F40" i="8" s="1"/>
  <c r="F39" i="8"/>
  <c r="H39" i="8"/>
  <c r="J39" i="8" s="1"/>
  <c r="F64" i="8"/>
  <c r="H64" i="8" s="1"/>
  <c r="J64" i="8" s="1"/>
  <c r="G63" i="8"/>
  <c r="G49" i="8"/>
  <c r="F50" i="8" s="1"/>
  <c r="H50" i="8" s="1"/>
  <c r="J50" i="8" s="1"/>
  <c r="E66" i="8"/>
  <c r="G12" i="13"/>
  <c r="F12" i="13"/>
  <c r="G10" i="13"/>
  <c r="F10" i="13"/>
  <c r="F16" i="13"/>
  <c r="G16" i="13"/>
  <c r="H41" i="8"/>
  <c r="J41" i="8" s="1"/>
  <c r="G41" i="8"/>
  <c r="F42" i="8" s="1"/>
  <c r="E58" i="8"/>
  <c r="G67" i="8"/>
  <c r="H25" i="8"/>
  <c r="J25" i="8" s="1"/>
  <c r="E57" i="8"/>
  <c r="G40" i="8"/>
  <c r="F41" i="8" s="1"/>
  <c r="G7" i="13"/>
  <c r="F7" i="13"/>
  <c r="H23" i="8"/>
  <c r="J23" i="8" s="1"/>
  <c r="H47" i="8"/>
  <c r="J47" i="8" s="1"/>
  <c r="D6" i="13"/>
  <c r="C18" i="13"/>
  <c r="G64" i="8"/>
  <c r="F65" i="8" s="1"/>
  <c r="B15" i="16"/>
  <c r="E5" i="16"/>
  <c r="E15" i="16" s="1"/>
  <c r="C9" i="17" s="1"/>
  <c r="G42" i="8"/>
  <c r="F43" i="8" s="1"/>
  <c r="E59" i="8"/>
  <c r="J17" i="8"/>
  <c r="G43" i="8"/>
  <c r="F44" i="8" s="1"/>
  <c r="H44" i="8" s="1"/>
  <c r="J44" i="8" s="1"/>
  <c r="E60" i="8"/>
  <c r="H32" i="8"/>
  <c r="J32" i="8" s="1"/>
  <c r="G8" i="13"/>
  <c r="F8" i="13"/>
  <c r="F11" i="13"/>
  <c r="G11" i="13"/>
  <c r="E62" i="8"/>
  <c r="G45" i="8"/>
  <c r="F46" i="8" s="1"/>
  <c r="H46" i="8" s="1"/>
  <c r="J46" i="8" s="1"/>
  <c r="J13" i="13"/>
  <c r="K13" i="13"/>
  <c r="Q13" i="13"/>
  <c r="P13" i="13"/>
  <c r="I13" i="13"/>
  <c r="H13" i="13"/>
  <c r="H65" i="8" l="1"/>
  <c r="J65" i="8" s="1"/>
  <c r="I8" i="13"/>
  <c r="H8" i="13"/>
  <c r="K8" i="13"/>
  <c r="Q8" i="13"/>
  <c r="J8" i="13"/>
  <c r="P8" i="13"/>
  <c r="G59" i="8"/>
  <c r="F60" i="8" s="1"/>
  <c r="H60" i="8" s="1"/>
  <c r="J60" i="8" s="1"/>
  <c r="H59" i="8"/>
  <c r="J59" i="8" s="1"/>
  <c r="E6" i="13"/>
  <c r="D18" i="13"/>
  <c r="G66" i="8"/>
  <c r="F67" i="8" s="1"/>
  <c r="H67" i="8" s="1"/>
  <c r="J67" i="8" s="1"/>
  <c r="G56" i="8"/>
  <c r="F57" i="8" s="1"/>
  <c r="F56" i="8"/>
  <c r="H56" i="8"/>
  <c r="J56" i="8" s="1"/>
  <c r="O14" i="13"/>
  <c r="M14" i="13"/>
  <c r="N14" i="13"/>
  <c r="N13" i="13"/>
  <c r="O13" i="13"/>
  <c r="M13" i="13"/>
  <c r="G62" i="8"/>
  <c r="F63" i="8" s="1"/>
  <c r="H63" i="8" s="1"/>
  <c r="J63" i="8" s="1"/>
  <c r="H43" i="8"/>
  <c r="J43" i="8" s="1"/>
  <c r="P12" i="13"/>
  <c r="Q12" i="13"/>
  <c r="H12" i="13"/>
  <c r="I12" i="13"/>
  <c r="J12" i="13"/>
  <c r="K12" i="13"/>
  <c r="M17" i="13"/>
  <c r="N17" i="13"/>
  <c r="O17" i="13"/>
  <c r="P15" i="13"/>
  <c r="H15" i="13"/>
  <c r="K15" i="13"/>
  <c r="Q15" i="13"/>
  <c r="J15" i="13"/>
  <c r="I15" i="13"/>
  <c r="G65" i="8"/>
  <c r="F66" i="8" s="1"/>
  <c r="H66" i="8" s="1"/>
  <c r="J66" i="8" s="1"/>
  <c r="F62" i="8"/>
  <c r="H62" i="8" s="1"/>
  <c r="J62" i="8" s="1"/>
  <c r="G61" i="8"/>
  <c r="L13" i="13"/>
  <c r="G57" i="8"/>
  <c r="F58" i="8" s="1"/>
  <c r="H58" i="8" s="1"/>
  <c r="J58" i="8" s="1"/>
  <c r="G58" i="8"/>
  <c r="F59" i="8" s="1"/>
  <c r="K16" i="13"/>
  <c r="J16" i="13"/>
  <c r="P16" i="13"/>
  <c r="Q16" i="13"/>
  <c r="H16" i="13"/>
  <c r="I16" i="13"/>
  <c r="L16" i="13" s="1"/>
  <c r="L17" i="13"/>
  <c r="L14" i="13"/>
  <c r="K11" i="13"/>
  <c r="H11" i="13"/>
  <c r="I11" i="13"/>
  <c r="Q11" i="13"/>
  <c r="J11" i="13"/>
  <c r="P11" i="13"/>
  <c r="G60" i="8"/>
  <c r="F61" i="8" s="1"/>
  <c r="H61" i="8" s="1"/>
  <c r="J61" i="8" s="1"/>
  <c r="H42" i="8"/>
  <c r="J42" i="8" s="1"/>
  <c r="J7" i="13"/>
  <c r="P7" i="13"/>
  <c r="Q7" i="13"/>
  <c r="H7" i="13"/>
  <c r="I7" i="13"/>
  <c r="L7" i="13" s="1"/>
  <c r="K7" i="13"/>
  <c r="K10" i="13"/>
  <c r="P10" i="13"/>
  <c r="J10" i="13"/>
  <c r="H10" i="13"/>
  <c r="Q10" i="13"/>
  <c r="I10" i="13"/>
  <c r="H40" i="8"/>
  <c r="J40" i="8" s="1"/>
  <c r="H48" i="8"/>
  <c r="J48" i="8" s="1"/>
  <c r="D15" i="16"/>
  <c r="P9" i="13"/>
  <c r="Q9" i="13"/>
  <c r="H9" i="13"/>
  <c r="I9" i="13"/>
  <c r="J9" i="13"/>
  <c r="K9" i="13"/>
  <c r="M11" i="13" l="1"/>
  <c r="R11" i="13" s="1"/>
  <c r="S11" i="13" s="1"/>
  <c r="O11" i="13"/>
  <c r="N11" i="13"/>
  <c r="L10" i="13"/>
  <c r="N7" i="13"/>
  <c r="O7" i="13"/>
  <c r="M7" i="13"/>
  <c r="R7" i="13" s="1"/>
  <c r="S7" i="13" s="1"/>
  <c r="J51" i="8"/>
  <c r="O16" i="13"/>
  <c r="N16" i="13"/>
  <c r="M16" i="13"/>
  <c r="R16" i="13" s="1"/>
  <c r="S16" i="13" s="1"/>
  <c r="L9" i="13"/>
  <c r="L12" i="13"/>
  <c r="R13" i="13"/>
  <c r="S13" i="13" s="1"/>
  <c r="R14" i="13"/>
  <c r="S14" i="13" s="1"/>
  <c r="H57" i="8"/>
  <c r="J57" i="8" s="1"/>
  <c r="J68" i="8" s="1"/>
  <c r="J70" i="8" s="1"/>
  <c r="C7" i="17" s="1"/>
  <c r="O8" i="13"/>
  <c r="N8" i="13"/>
  <c r="M8" i="13"/>
  <c r="R8" i="13" s="1"/>
  <c r="S8" i="13"/>
  <c r="N9" i="13"/>
  <c r="M9" i="13"/>
  <c r="O9" i="13"/>
  <c r="M10" i="13"/>
  <c r="R10" i="13" s="1"/>
  <c r="S10" i="13" s="1"/>
  <c r="N10" i="13"/>
  <c r="O10" i="13"/>
  <c r="L11" i="13"/>
  <c r="L15" i="13"/>
  <c r="O15" i="13"/>
  <c r="M15" i="13"/>
  <c r="N15" i="13"/>
  <c r="R17" i="13"/>
  <c r="S17" i="13" s="1"/>
  <c r="O12" i="13"/>
  <c r="N12" i="13"/>
  <c r="M12" i="13"/>
  <c r="R12" i="13" s="1"/>
  <c r="S12" i="13" s="1"/>
  <c r="F6" i="13"/>
  <c r="G6" i="13"/>
  <c r="G18" i="13" s="1"/>
  <c r="E18" i="13"/>
  <c r="L8" i="13"/>
  <c r="I6" i="13" l="1"/>
  <c r="Q6" i="13"/>
  <c r="Q18" i="13" s="1"/>
  <c r="K6" i="13"/>
  <c r="K18" i="13" s="1"/>
  <c r="P6" i="13"/>
  <c r="P18" i="13" s="1"/>
  <c r="J6" i="13"/>
  <c r="J18" i="13" s="1"/>
  <c r="H6" i="13"/>
  <c r="F18" i="13"/>
  <c r="R15" i="13"/>
  <c r="S15" i="13" s="1"/>
  <c r="R9" i="13"/>
  <c r="S9" i="13" s="1"/>
  <c r="O6" i="13" l="1"/>
  <c r="O18" i="13" s="1"/>
  <c r="M6" i="13"/>
  <c r="N6" i="13"/>
  <c r="N18" i="13" s="1"/>
  <c r="H18" i="13"/>
  <c r="L6" i="13"/>
  <c r="L18" i="13" s="1"/>
  <c r="I18" i="13"/>
  <c r="R6" i="13" l="1"/>
  <c r="M18" i="13"/>
  <c r="S6" i="13" l="1"/>
  <c r="S18" i="13" s="1"/>
  <c r="C8" i="17" s="1"/>
  <c r="C10" i="17" s="1"/>
  <c r="R18" i="13"/>
  <c r="B13" i="17" l="1"/>
  <c r="D17" i="17" s="1"/>
  <c r="E17" i="17" s="1"/>
  <c r="E18" i="17" s="1"/>
</calcChain>
</file>

<file path=xl/sharedStrings.xml><?xml version="1.0" encoding="utf-8"?>
<sst xmlns="http://schemas.openxmlformats.org/spreadsheetml/2006/main" count="491" uniqueCount="286">
  <si>
    <t>AÑO</t>
  </si>
  <si>
    <t>UNIDADES</t>
  </si>
  <si>
    <t>PV. UNIT.</t>
  </si>
  <si>
    <t>TOTAL VENTAS</t>
  </si>
  <si>
    <t>INFORMACION HISTÓRICA DE VENTAS</t>
  </si>
  <si>
    <t>Sumatoriadel Incre. %</t>
  </si>
  <si>
    <t>Promedio Incr. %</t>
  </si>
  <si>
    <t>Presupuesto año 2026</t>
  </si>
  <si>
    <t>PRESUPUESTO INCREMENTO %</t>
  </si>
  <si>
    <t>Sumatoria Increm Absluto</t>
  </si>
  <si>
    <t>Promedio Incr. Absoluto</t>
  </si>
  <si>
    <t>PRESUPUESTO INCREMENTO ABSOLUTO</t>
  </si>
  <si>
    <t>PRESUPUESTO DE VENTAS MINIMOS CUADRADOS</t>
  </si>
  <si>
    <t>X.Y</t>
  </si>
  <si>
    <t>X 2</t>
  </si>
  <si>
    <t>b=</t>
  </si>
  <si>
    <t>n=</t>
  </si>
  <si>
    <t>X</t>
  </si>
  <si>
    <t>Y</t>
  </si>
  <si>
    <t>a=</t>
  </si>
  <si>
    <t>y=</t>
  </si>
  <si>
    <t>PRESUPUESTO DE VENTAS P.A - P.B.</t>
  </si>
  <si>
    <t>PUNTO ALTO</t>
  </si>
  <si>
    <t>PUNTO BAJO</t>
  </si>
  <si>
    <t>DIFERENCIA</t>
  </si>
  <si>
    <t>Remplazamos con el P.A</t>
  </si>
  <si>
    <t>Y = a + b.x</t>
  </si>
  <si>
    <t>10.500+ (1.500 x 6)=</t>
  </si>
  <si>
    <r>
      <t xml:space="preserve"> = </t>
    </r>
    <r>
      <rPr>
        <sz val="14"/>
        <color theme="1"/>
        <rFont val="Calibri"/>
        <family val="2"/>
        <scheme val="minor"/>
      </rPr>
      <t>a +  (1.500 x 5)</t>
    </r>
    <r>
      <rPr>
        <sz val="11"/>
        <color theme="1"/>
        <rFont val="Calibri"/>
        <family val="2"/>
        <scheme val="minor"/>
      </rPr>
      <t xml:space="preserve"> =</t>
    </r>
  </si>
  <si>
    <r>
      <t xml:space="preserve"> = </t>
    </r>
    <r>
      <rPr>
        <sz val="12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+  (1.500 x 1) =</t>
    </r>
  </si>
  <si>
    <t>PRESUPUESTO DE VENTAS P.A- P.B.</t>
  </si>
  <si>
    <t>PRESUPUESTO DE VENTAS 20206</t>
  </si>
  <si>
    <t>Despejando a=</t>
  </si>
  <si>
    <r>
      <rPr>
        <sz val="11"/>
        <color theme="1"/>
        <rFont val="Calibri"/>
        <family val="2"/>
        <scheme val="minor"/>
      </rPr>
      <t>18.000 - 7.500</t>
    </r>
    <r>
      <rPr>
        <b/>
        <sz val="12"/>
        <color theme="1"/>
        <rFont val="Calibri"/>
        <family val="2"/>
        <scheme val="minor"/>
      </rPr>
      <t xml:space="preserve">   a =</t>
    </r>
  </si>
  <si>
    <t>10.500+ (1.500 x 5)=</t>
  </si>
  <si>
    <t>RESUMEN PRESUPUESTAL  TODOS LOS MÉTODOS</t>
  </si>
  <si>
    <t>Incremento %</t>
  </si>
  <si>
    <t>Incremento Absoluto</t>
  </si>
  <si>
    <t>Minimos Cuadrados</t>
  </si>
  <si>
    <t>P.A. - P.B.</t>
  </si>
  <si>
    <t>Año 2026</t>
  </si>
  <si>
    <t>Politicas generales sobre inventarios</t>
  </si>
  <si>
    <t>Niveles de inventarios de productos terminados:</t>
  </si>
  <si>
    <t>Inventario inicial deseado:</t>
  </si>
  <si>
    <t>Inventario Final deseado</t>
  </si>
  <si>
    <t xml:space="preserve">Distribución porcentual de las ventas: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</si>
  <si>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</si>
  <si>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</si>
  <si>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</si>
  <si>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</si>
  <si>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</si>
  <si>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</si>
  <si>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</si>
  <si>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</si>
  <si>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</si>
  <si>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</si>
  <si>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</si>
  <si>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</si>
  <si>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Totales</t>
  </si>
  <si>
    <t>PRESUPUESTO DE VENTAS  AÑO 2026</t>
  </si>
  <si>
    <t>Producción Requeria  por mes</t>
  </si>
  <si>
    <t>Inv Final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</si>
  <si>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</si>
  <si>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</si>
  <si>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</si>
  <si>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</si>
  <si>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</si>
  <si>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</si>
  <si>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</si>
  <si>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</si>
  <si>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</si>
  <si>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</si>
  <si>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</si>
  <si>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</si>
  <si>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TOTALES</t>
  </si>
  <si>
    <t>Concepto</t>
  </si>
  <si>
    <t>Ventas presupuestadas</t>
  </si>
  <si>
    <t>Necesdades de producc.</t>
  </si>
  <si>
    <t>Inventario  Inicial</t>
  </si>
  <si>
    <t>MÉTODO</t>
  </si>
  <si>
    <r>
      <rPr>
        <sz val="11"/>
        <color theme="1"/>
        <rFont val="Calibri"/>
        <family val="2"/>
        <scheme val="minor"/>
      </rPr>
      <t>12.000 - 1.500</t>
    </r>
    <r>
      <rPr>
        <b/>
        <sz val="12"/>
        <color theme="1"/>
        <rFont val="Calibri"/>
        <family val="2"/>
        <scheme val="minor"/>
      </rPr>
      <t xml:space="preserve">   a =</t>
    </r>
  </si>
  <si>
    <t>MES</t>
  </si>
  <si>
    <t>DESCRIPCION</t>
  </si>
  <si>
    <t>FINAL</t>
  </si>
  <si>
    <t>ENERO</t>
  </si>
  <si>
    <t>Mt</t>
  </si>
  <si>
    <t>FEBRERO</t>
  </si>
  <si>
    <t>MARZO</t>
  </si>
  <si>
    <t>PRESUPUESTO DE COMPRAS DE M.P.D.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</si>
  <si>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</si>
  <si>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</si>
  <si>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</si>
  <si>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</si>
  <si>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</si>
  <si>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</si>
  <si>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</si>
  <si>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</si>
  <si>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</si>
  <si>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UNIDAD DE MEDIDA</t>
  </si>
  <si>
    <t>CONSUMO POR UNIDAD</t>
  </si>
  <si>
    <t>PPTO DE PDCCIÓN</t>
  </si>
  <si>
    <t>INV. INICIAL</t>
  </si>
  <si>
    <t>INV.     FINAL</t>
  </si>
  <si>
    <t>MATERIA PRIMA REQUERIDA</t>
  </si>
  <si>
    <t>COSTO MPD POR MT</t>
  </si>
  <si>
    <t>COSTO TOTAL MPD</t>
  </si>
  <si>
    <t>FICHA TÉCNICA DEL PRODUCTO</t>
  </si>
  <si>
    <t>Nombre del producto</t>
  </si>
  <si>
    <t>Conjunto Deportivo Dama (Top + Leggings)</t>
  </si>
  <si>
    <t>Talla</t>
  </si>
  <si>
    <t>Única</t>
  </si>
  <si>
    <t>Técnica de confección</t>
  </si>
  <si>
    <t>Sellado térmico (termosellado) sin hilo</t>
  </si>
  <si>
    <t>Composición por prenda</t>
  </si>
  <si>
    <t>Leggings: Poliéster | Top: Spandex</t>
  </si>
  <si>
    <t>Colores de referencia</t>
  </si>
  <si>
    <t>Top azul con detalles rosados; leggings estampado multicolor</t>
  </si>
  <si>
    <t>Uso recomendado</t>
  </si>
  <si>
    <t>Fitness, yoga, running y uso casual</t>
  </si>
  <si>
    <t>Propiedades</t>
  </si>
  <si>
    <t>Secado rápido, elasticidad, control de humedad</t>
  </si>
  <si>
    <t>Cuidados</t>
  </si>
  <si>
    <t>Lavado suave en frío, no blanquear, secado a la sombra, no planchar directamente sobre uniones termoselladas</t>
  </si>
  <si>
    <t>Ficha Técnica</t>
  </si>
  <si>
    <t>CONSUMO DE MPD POR UNIDAD</t>
  </si>
  <si>
    <t>Material</t>
  </si>
  <si>
    <t>Unidad de Medida</t>
  </si>
  <si>
    <t>Consumo por unidad</t>
  </si>
  <si>
    <t xml:space="preserve">Costo unitario </t>
  </si>
  <si>
    <r>
      <t>Política sobre inventarios de productos terminados:</t>
    </r>
    <r>
      <rPr>
        <sz val="12"/>
        <rFont val="Century Gothic"/>
        <family val="2"/>
      </rPr>
      <t xml:space="preserve"> La empresa desea tener en existencias, al final del año, un inventario de 200 unidades y para el </t>
    </r>
    <r>
      <rPr>
        <b/>
        <sz val="12"/>
        <rFont val="Century Gothic"/>
        <family val="2"/>
      </rPr>
      <t xml:space="preserve"> I.F. de MPD:</t>
    </r>
    <r>
      <rPr>
        <sz val="12"/>
        <rFont val="Century Gothic"/>
        <family val="2"/>
      </rPr>
      <t xml:space="preserve"> Desea tener en existencia al inicio y al final del año 2026 el 5% del volumen de producción del respectivo mes.</t>
    </r>
    <r>
      <rPr>
        <b/>
        <sz val="12"/>
        <rFont val="Century Gothic"/>
        <family val="2"/>
      </rPr>
      <t xml:space="preserve"> </t>
    </r>
  </si>
  <si>
    <t>Cinta Adhesiva</t>
  </si>
  <si>
    <t>Elatico Termosellable</t>
  </si>
  <si>
    <t>TOTAL PRESUPUESTO DE CONSUMO DE MATERIA PRIMA DIRECTA</t>
  </si>
  <si>
    <t>TOTAL PRESUPUESTO ANUAL DE MPD - Elástico Termosellable</t>
  </si>
  <si>
    <t>TOTAL PRESUPUESTO ANUAL DE MPD - Leggins</t>
  </si>
  <si>
    <t>TOTAL PRESUPUESTO ANUAL DE MPD - TELA TOP</t>
  </si>
  <si>
    <t>TOTAL PRESUPUESTO ANUAL DE MPD - CINTA ADHESIVA</t>
  </si>
  <si>
    <t>Proceso</t>
  </si>
  <si>
    <t>Minutos por unidad</t>
  </si>
  <si>
    <t>Diseño</t>
  </si>
  <si>
    <t>Corte</t>
  </si>
  <si>
    <t>Confección</t>
  </si>
  <si>
    <t>Terminado</t>
  </si>
  <si>
    <t>Empacado</t>
  </si>
  <si>
    <t>Total</t>
  </si>
  <si>
    <t>Sport Lyne S.a.s</t>
  </si>
  <si>
    <t>PRESUPUESTO DE MOD</t>
  </si>
  <si>
    <t>AÑO 2026</t>
  </si>
  <si>
    <t>Mes</t>
  </si>
  <si>
    <t>Producción Mensual</t>
  </si>
  <si>
    <t>Minutos Totales por mes</t>
  </si>
  <si>
    <t>Horas Totales</t>
  </si>
  <si>
    <t>Empleados Requeridos</t>
  </si>
  <si>
    <t>Salario Basico Mensual</t>
  </si>
  <si>
    <t>Auxilip de transporte</t>
  </si>
  <si>
    <t>Total Devengado</t>
  </si>
  <si>
    <t>Caja de Compensación</t>
  </si>
  <si>
    <t>Aportes AFP</t>
  </si>
  <si>
    <t>Aportes ARL</t>
  </si>
  <si>
    <t>Total Seguridad Social</t>
  </si>
  <si>
    <t>Prima de Servicios</t>
  </si>
  <si>
    <t>Cesantías</t>
  </si>
  <si>
    <t>Interés  cesantías</t>
  </si>
  <si>
    <t>Vacaciones</t>
  </si>
  <si>
    <t>Dotación</t>
  </si>
  <si>
    <t>total Factor Prestacional</t>
  </si>
  <si>
    <t>Total MOD</t>
  </si>
  <si>
    <t>TOTAL AÑO</t>
  </si>
  <si>
    <t>DATOS GENERALES PARA CALCULAR LOS CIF</t>
  </si>
  <si>
    <t>CIF FIJOS mensuales 2025</t>
  </si>
  <si>
    <t>Arrendamiento de bodega</t>
  </si>
  <si>
    <t>Seguros</t>
  </si>
  <si>
    <t>Mano de obra indirecta</t>
  </si>
  <si>
    <t>Depreciaciones linea recta</t>
  </si>
  <si>
    <t>Vigilancia</t>
  </si>
  <si>
    <t>TOTAL  CIF FIJOS</t>
  </si>
  <si>
    <t>TOTAL   CIF FIJOS (SemiV)</t>
  </si>
  <si>
    <t>TOTAL CIF FIJOS X MES</t>
  </si>
  <si>
    <t>CIF VARIABLES Históricos</t>
  </si>
  <si>
    <t>CONCEPTO</t>
  </si>
  <si>
    <t>UNID. PROD</t>
  </si>
  <si>
    <t>COSTO TOTAL</t>
  </si>
  <si>
    <t>Material de empaque e indirectos</t>
  </si>
  <si>
    <t>Aseo y cafeteria</t>
  </si>
  <si>
    <t>Servicios Publicos</t>
  </si>
  <si>
    <t>Mantenimiento, lubricantes y repuestos</t>
  </si>
  <si>
    <t>Y=a+b*X</t>
  </si>
  <si>
    <t xml:space="preserve">CIF PRESUPUESTO= FIJA + SEMI UNIDAD </t>
  </si>
  <si>
    <t>PRESUPUESTO DE CIF AÑO 2026</t>
  </si>
  <si>
    <t>PPTO PROD.</t>
  </si>
  <si>
    <t>CIF FIJOS X MES</t>
  </si>
  <si>
    <t>CIF VARIABLES POR MES</t>
  </si>
  <si>
    <t>TOTAL CIF</t>
  </si>
  <si>
    <t>y= a+b*X</t>
  </si>
  <si>
    <t xml:space="preserve">PUNTO BAJO </t>
  </si>
  <si>
    <t>Y = a + b(x) → Material de Empaque</t>
  </si>
  <si>
    <t>72.000.000 = a + 500 (120.000)</t>
  </si>
  <si>
    <t>72.000.000 = a + 60.000.000</t>
  </si>
  <si>
    <t>a = 12.000.000</t>
  </si>
  <si>
    <r>
      <t xml:space="preserve">b = 3.000.000 / 12 = 250.000 → </t>
    </r>
    <r>
      <rPr>
        <i/>
        <sz val="11"/>
        <color theme="1"/>
        <rFont val="Calibri"/>
        <family val="2"/>
        <scheme val="minor"/>
      </rPr>
      <t>mes</t>
    </r>
  </si>
  <si>
    <t>9.000.000 = a + b (12.000)</t>
  </si>
  <si>
    <t>9.000.000 = a + 6.000.000</t>
  </si>
  <si>
    <t>a = 3.000.000</t>
  </si>
  <si>
    <t>PASO 2 – Energía Eléctrica</t>
  </si>
  <si>
    <t>16.000.000 = a + 1000 (18.000)</t>
  </si>
  <si>
    <t>16.000.000 = a + 18.000.000</t>
  </si>
  <si>
    <t>a = 18.000.000 - 16.000.000</t>
  </si>
  <si>
    <r>
      <t xml:space="preserve">a = 2.000.000 / 12 = 166.667 → </t>
    </r>
    <r>
      <rPr>
        <i/>
        <sz val="11"/>
        <color theme="1"/>
        <rFont val="Calibri"/>
        <family val="2"/>
        <scheme val="minor"/>
      </rPr>
      <t>mes</t>
    </r>
  </si>
  <si>
    <t>Servicios Públicos</t>
  </si>
  <si>
    <t>30.000.000 = a + 1000 (18.000)</t>
  </si>
  <si>
    <t>30.000.000 = a + 18.000.000</t>
  </si>
  <si>
    <t>a = 30.000.000 - 18.000.000</t>
  </si>
  <si>
    <r>
      <t xml:space="preserve">a = 12.000.000 / 12 = 1.000.000 → </t>
    </r>
    <r>
      <rPr>
        <i/>
        <sz val="11"/>
        <color theme="1"/>
        <rFont val="Calibri"/>
        <family val="2"/>
        <scheme val="minor"/>
      </rPr>
      <t>mes</t>
    </r>
  </si>
  <si>
    <t>Mantenimiento</t>
  </si>
  <si>
    <t>12.000.000 = a + 1000 (10.000)</t>
  </si>
  <si>
    <t>12.000.000 = a + 10.000.000</t>
  </si>
  <si>
    <t>a = 18.000.000 - 12.000.000 = 6.000.000 / 12</t>
  </si>
  <si>
    <r>
      <t xml:space="preserve">a = 500.000 → </t>
    </r>
    <r>
      <rPr>
        <i/>
        <sz val="11"/>
        <color theme="1"/>
        <rFont val="Calibri"/>
        <family val="2"/>
        <scheme val="minor"/>
      </rPr>
      <t>mes</t>
    </r>
  </si>
  <si>
    <t xml:space="preserve">NOTA: LOS 3.500 SALEN DE LAS SUMA DE LAS UNIDADES DE LA SEMI VARIABLE </t>
  </si>
  <si>
    <r>
      <t>Mat. x Emp:</t>
    </r>
    <r>
      <rPr>
        <sz val="11"/>
        <color theme="1"/>
        <rFont val="Calibri"/>
        <family val="2"/>
        <scheme val="minor"/>
      </rPr>
      <t xml:space="preserve"> 3.000.000 + 500(x)</t>
    </r>
  </si>
  <si>
    <r>
      <t>Aseo y Caf:</t>
    </r>
    <r>
      <rPr>
        <sz val="11"/>
        <color theme="1"/>
        <rFont val="Calibri"/>
        <family val="2"/>
        <scheme val="minor"/>
      </rPr>
      <t xml:space="preserve"> 2.000.000 + 1.000(x)</t>
    </r>
  </si>
  <si>
    <r>
      <t>Serv. pub:</t>
    </r>
    <r>
      <rPr>
        <sz val="11"/>
        <color theme="1"/>
        <rFont val="Calibri"/>
        <family val="2"/>
        <scheme val="minor"/>
      </rPr>
      <t xml:space="preserve"> 12.000.000 + 1.000(x)</t>
    </r>
  </si>
  <si>
    <r>
      <t>Mto y Lobr:</t>
    </r>
    <r>
      <rPr>
        <sz val="11"/>
        <color theme="1"/>
        <rFont val="Calibri"/>
        <family val="2"/>
        <scheme val="minor"/>
      </rPr>
      <t xml:space="preserve"> 6.000.000 + 1.000(x)</t>
    </r>
  </si>
  <si>
    <r>
      <t>Total:</t>
    </r>
    <r>
      <rPr>
        <sz val="11"/>
        <color theme="1"/>
        <rFont val="Calibri"/>
        <family val="2"/>
        <scheme val="minor"/>
      </rPr>
      <t xml:space="preserve"> 3.500</t>
    </r>
  </si>
  <si>
    <r>
      <t xml:space="preserve">23.000.000 ÷ 12 = </t>
    </r>
    <r>
      <rPr>
        <b/>
        <sz val="11"/>
        <color theme="1"/>
        <rFont val="Calibri"/>
        <family val="2"/>
        <scheme val="minor"/>
      </rPr>
      <t>1.916.667</t>
    </r>
  </si>
  <si>
    <t xml:space="preserve">Proyeccion de venta </t>
  </si>
  <si>
    <t>Cédula: Presupuesto total</t>
  </si>
  <si>
    <r>
      <t>Ventas proyect:</t>
    </r>
    <r>
      <rPr>
        <sz val="11"/>
        <color theme="1"/>
        <rFont val="Calibri"/>
        <family val="2"/>
        <scheme val="minor"/>
      </rPr>
      <t xml:space="preserve"> 18.200 = P.V. ?</t>
    </r>
  </si>
  <si>
    <t>Costos</t>
  </si>
  <si>
    <t xml:space="preserve">Utilidad operacional </t>
  </si>
  <si>
    <r>
      <t>y= a+(</t>
    </r>
    <r>
      <rPr>
        <sz val="14"/>
        <color theme="1"/>
        <rFont val="Calibri"/>
        <family val="2"/>
        <scheme val="minor"/>
      </rPr>
      <t>b*X</t>
    </r>
    <r>
      <rPr>
        <sz val="18"/>
        <color theme="1"/>
        <rFont val="Calibri"/>
        <family val="2"/>
        <scheme val="minor"/>
      </rPr>
      <t>)</t>
    </r>
  </si>
  <si>
    <r>
      <t>Costo total:</t>
    </r>
    <r>
      <rPr>
        <sz val="11"/>
        <color theme="1"/>
        <rFont val="Calibri"/>
        <family val="2"/>
        <scheme val="minor"/>
      </rPr>
      <t xml:space="preserve"> 1.047.891.004 ÷ Ppto de ventas</t>
    </r>
  </si>
  <si>
    <t>Presupuesto de ventas proyectado</t>
  </si>
  <si>
    <t>Unidades</t>
  </si>
  <si>
    <t>Pr. Venta</t>
  </si>
  <si>
    <t>Presupuesto de costos</t>
  </si>
  <si>
    <t xml:space="preserve">Depreciacion de maquinaria </t>
  </si>
  <si>
    <t>Vida util en meses</t>
  </si>
  <si>
    <t xml:space="preserve"> Nit: 890 000-00-1</t>
  </si>
  <si>
    <t>Estado de resultados Integral</t>
  </si>
  <si>
    <t>%</t>
  </si>
  <si>
    <t xml:space="preserve">SUBTOTAL </t>
  </si>
  <si>
    <t>VALORES</t>
  </si>
  <si>
    <t>SUBTOTAL</t>
  </si>
  <si>
    <t>Ingresos Netos  por actividades ordinarias</t>
  </si>
  <si>
    <t>(Menos) Comercio al por menor y por mayor ventas de…</t>
  </si>
  <si>
    <t>(Menos Devoluciones y Descuentos en ventas</t>
  </si>
  <si>
    <t>(Menos) Costo por actividades ordinarias</t>
  </si>
  <si>
    <t>(Igual) Utilidad por actividades ordinarias</t>
  </si>
  <si>
    <t>(Más) Otros ingresos</t>
  </si>
  <si>
    <t>Aprovechamientos</t>
  </si>
  <si>
    <t>(Menos) Otros gastos no operacionales</t>
  </si>
  <si>
    <t>Diversos</t>
  </si>
  <si>
    <t>(Menos) Gastos ordinarios</t>
  </si>
  <si>
    <t>Gastos de administración</t>
  </si>
  <si>
    <t>Salarios</t>
  </si>
  <si>
    <t>Honorarios</t>
  </si>
  <si>
    <t>Arrendamiento</t>
  </si>
  <si>
    <t>Servicios</t>
  </si>
  <si>
    <t>Gastos Legales</t>
  </si>
  <si>
    <t>Gastos de ventas</t>
  </si>
  <si>
    <t>Impuestos</t>
  </si>
  <si>
    <t>Depreciación</t>
  </si>
  <si>
    <t>(Igual) Utilidad ordinaria</t>
  </si>
  <si>
    <t>(Más) Ingresos financieros</t>
  </si>
  <si>
    <t>Intereses</t>
  </si>
  <si>
    <t>(Menos) Gastos financieros</t>
  </si>
  <si>
    <t>Costos por prestamos</t>
  </si>
  <si>
    <t>(Igual) utilidad antes de impuestos</t>
  </si>
  <si>
    <t>(Menos) Impuesto  a las ganancias 35%</t>
  </si>
  <si>
    <t>(Igual) Resultado del ejercicio despues de Impuestos</t>
  </si>
  <si>
    <t xml:space="preserve">Firmas: </t>
  </si>
  <si>
    <t>Rrepresentante Legal</t>
  </si>
  <si>
    <t>Revosor Fiscal:</t>
  </si>
  <si>
    <t>Para proyectar los gastos de administración y ventas para el periodo 2026 la propuesta es una vez identificadas las necesidades en cada una de las áreas, aplicar el promedio de la inflación de los ultimos 3 años.</t>
  </si>
  <si>
    <t>Los ingresos financieros, se proyecta para el año 2026 que tenga un incremento del 8% con relación al año 2025</t>
  </si>
  <si>
    <t>Los costos por préstamos corresponde a una obligación financiera la cual genera unos costos financieros equivalente al Promedio de la inflación en los ultimos 3 años.</t>
  </si>
  <si>
    <t>En cuanto a la Utilidad Neta proyectada para la vigencia 2026, la empresa presupuesta, aprovechando el auge del marketing por redes sociales y la cultura del deporte y ejercicio saludable en las personas, un promedio de utilidad neta despues de impuesto de renta entre el 5 y 10%, para dar cumplimiento al retorno de la inversión inicial que se espera se dé en 6 años de los cuales ya han transcurrido 5 años con un nivel de rentabilidad  bajo en los ultimos 3 años.</t>
  </si>
  <si>
    <t>Los ingresos por aprovechamientos, corresponde al material de desperdicio o sobrante en materias primas que se venden a otras empresas para su reprocesamiento y por lo geeneral se estima en un 1% del valor de las MPD consumidas durante el año</t>
  </si>
  <si>
    <t>Para proyectar las ventas del año 2026, la empresa tendrá como política central, obtener un margen de rentabilidad en la venta de cada conjunto del 45%, redondeado al múltiplo de 1000 mas cercano.</t>
  </si>
  <si>
    <t>Los gastos diversos corresponden generalmente a los gasto pagados por caja menor y la politica es prsupuestar el 1% de las Ventas Brutas presupuestadas de cada año</t>
  </si>
  <si>
    <t>SportLyne S.a.s</t>
  </si>
  <si>
    <t>De enero a diciembre de 2026</t>
  </si>
  <si>
    <t>C.I.F.    →      $213.225.004</t>
  </si>
  <si>
    <t>M.P.D.  →    $550.902.000</t>
  </si>
  <si>
    <t>M.O.D. →    $283.764.000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</si>
</sst>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_-[$$-240A]\ * #,##0_-;\-[$$-240A]\ * #,##0_-;_-[$$-240A]\ * &quot;-&quot;??_-;_-@_-"/>
    <numFmt numFmtId="167" formatCode="0.0%"/>
  </numFmts>
  <fonts count="3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name val="Aptos"/>
      <family val="2"/>
    </font>
    <font>
      <b/>
      <sz val="12"/>
      <name val="Century Gothic"/>
      <family val="2"/>
    </font>
    <font>
      <sz val="8"/>
      <name val="Calibri"/>
      <family val="2"/>
      <scheme val="minor"/>
    </font>
    <font>
      <b/>
      <sz val="16"/>
      <name val="Century Gothic"/>
      <family val="2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</font>
    <font>
      <b/>
      <sz val="12"/>
      <name val="Calibri"/>
      <family val="2"/>
    </font>
    <font>
      <sz val="12"/>
      <name val="Century Gothic"/>
      <family val="2"/>
    </font>
    <font>
      <b/>
      <sz val="22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0"/>
      <name val="Calibri"/>
      <family val="2"/>
    </font>
    <font>
      <b/>
      <sz val="12"/>
      <color theme="0"/>
      <name val="Calibri"/>
      <family val="2"/>
    </font>
    <font>
      <b/>
      <sz val="16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gray125">
        <bgColor theme="6" tint="0.39997558519241921"/>
      </patternFill>
    </fill>
    <fill>
      <patternFill patternType="gray125">
        <bgColor theme="3" tint="0.749992370372631"/>
      </patternFill>
    </fill>
    <fill>
      <patternFill patternType="gray125">
        <bgColor theme="9" tint="0.79998168889431442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gray125">
        <bgColor theme="7" tint="0.59999389629810485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301">
    <xf numFmtId="0" fontId="0" fillId="0" borderId="0" xfId="0"/>
    <xf numFmtId="0" fontId="0" fillId="2" borderId="1" xfId="0" applyFill="1" applyBorder="1"/>
    <xf numFmtId="164" fontId="0" fillId="2" borderId="1" xfId="1" applyNumberFormat="1" applyFont="1" applyFill="1" applyBorder="1"/>
    <xf numFmtId="0" fontId="0" fillId="3" borderId="1" xfId="0" applyFill="1" applyBorder="1" applyAlignment="1">
      <alignment horizontal="center" vertical="center"/>
    </xf>
    <xf numFmtId="164" fontId="0" fillId="0" borderId="0" xfId="1" applyNumberFormat="1" applyFont="1"/>
    <xf numFmtId="164" fontId="0" fillId="0" borderId="0" xfId="0" applyNumberFormat="1"/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164" fontId="0" fillId="0" borderId="0" xfId="1" applyNumberFormat="1" applyFont="1" applyAlignment="1">
      <alignment horizontal="center" vertic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2" fillId="0" borderId="0" xfId="0" applyFont="1"/>
    <xf numFmtId="0" fontId="7" fillId="0" borderId="0" xfId="0" applyFont="1" applyAlignment="1">
      <alignment horizontal="right"/>
    </xf>
    <xf numFmtId="0" fontId="0" fillId="4" borderId="0" xfId="0" applyFill="1"/>
    <xf numFmtId="0" fontId="0" fillId="4" borderId="0" xfId="0" applyFill="1" applyAlignment="1">
      <alignment horizontal="center" vertical="center"/>
    </xf>
    <xf numFmtId="0" fontId="2" fillId="4" borderId="0" xfId="0" applyFont="1" applyFill="1"/>
    <xf numFmtId="164" fontId="2" fillId="4" borderId="0" xfId="1" applyNumberFormat="1" applyFont="1" applyFill="1" applyAlignment="1">
      <alignment horizontal="center"/>
    </xf>
    <xf numFmtId="0" fontId="7" fillId="4" borderId="1" xfId="0" applyFont="1" applyFill="1" applyBorder="1" applyAlignment="1">
      <alignment horizontal="right"/>
    </xf>
    <xf numFmtId="164" fontId="2" fillId="4" borderId="1" xfId="1" applyNumberFormat="1" applyFont="1" applyFill="1" applyBorder="1"/>
    <xf numFmtId="164" fontId="2" fillId="0" borderId="0" xfId="0" applyNumberFormat="1" applyFont="1"/>
    <xf numFmtId="164" fontId="2" fillId="4" borderId="0" xfId="0" applyNumberFormat="1" applyFont="1" applyFill="1"/>
    <xf numFmtId="0" fontId="0" fillId="0" borderId="1" xfId="0" applyBorder="1"/>
    <xf numFmtId="164" fontId="0" fillId="0" borderId="1" xfId="1" applyNumberFormat="1" applyFont="1" applyBorder="1" applyAlignment="1">
      <alignment horizontal="center"/>
    </xf>
    <xf numFmtId="164" fontId="0" fillId="0" borderId="1" xfId="1" applyNumberFormat="1" applyFont="1" applyBorder="1"/>
    <xf numFmtId="164" fontId="0" fillId="0" borderId="1" xfId="1" applyNumberFormat="1" applyFont="1" applyBorder="1" applyAlignment="1">
      <alignment horizontal="center" vertical="center"/>
    </xf>
    <xf numFmtId="164" fontId="2" fillId="5" borderId="1" xfId="0" applyNumberFormat="1" applyFont="1" applyFill="1" applyBorder="1"/>
    <xf numFmtId="0" fontId="0" fillId="0" borderId="1" xfId="0" applyBorder="1" applyAlignment="1">
      <alignment horizontal="right"/>
    </xf>
    <xf numFmtId="0" fontId="4" fillId="0" borderId="1" xfId="0" applyFont="1" applyBorder="1" applyAlignment="1">
      <alignment horizontal="right"/>
    </xf>
    <xf numFmtId="164" fontId="2" fillId="0" borderId="1" xfId="0" applyNumberFormat="1" applyFont="1" applyBorder="1"/>
    <xf numFmtId="164" fontId="2" fillId="0" borderId="1" xfId="1" applyNumberFormat="1" applyFont="1" applyBorder="1"/>
    <xf numFmtId="0" fontId="8" fillId="0" borderId="1" xfId="0" applyFont="1" applyBorder="1"/>
    <xf numFmtId="164" fontId="8" fillId="0" borderId="1" xfId="1" applyNumberFormat="1" applyFont="1" applyBorder="1"/>
    <xf numFmtId="0" fontId="0" fillId="0" borderId="1" xfId="0" applyBorder="1" applyAlignment="1">
      <alignment horizontal="center" vertical="center"/>
    </xf>
    <xf numFmtId="164" fontId="0" fillId="0" borderId="1" xfId="0" applyNumberFormat="1" applyBorder="1"/>
    <xf numFmtId="164" fontId="0" fillId="3" borderId="1" xfId="0" applyNumberFormat="1" applyFill="1" applyBorder="1"/>
    <xf numFmtId="0" fontId="4" fillId="6" borderId="1" xfId="0" applyFont="1" applyFill="1" applyBorder="1"/>
    <xf numFmtId="164" fontId="4" fillId="6" borderId="1" xfId="0" applyNumberFormat="1" applyFont="1" applyFill="1" applyBorder="1"/>
    <xf numFmtId="0" fontId="0" fillId="3" borderId="1" xfId="0" applyFill="1" applyBorder="1" applyAlignment="1">
      <alignment horizontal="center"/>
    </xf>
    <xf numFmtId="9" fontId="0" fillId="0" borderId="1" xfId="2" applyFont="1" applyBorder="1"/>
    <xf numFmtId="0" fontId="3" fillId="3" borderId="1" xfId="0" applyFont="1" applyFill="1" applyBorder="1"/>
    <xf numFmtId="0" fontId="0" fillId="3" borderId="1" xfId="0" applyFill="1" applyBorder="1"/>
    <xf numFmtId="9" fontId="0" fillId="3" borderId="1" xfId="2" applyFont="1" applyFill="1" applyBorder="1"/>
    <xf numFmtId="0" fontId="2" fillId="3" borderId="1" xfId="0" applyFont="1" applyFill="1" applyBorder="1"/>
    <xf numFmtId="164" fontId="2" fillId="3" borderId="1" xfId="1" applyNumberFormat="1" applyFont="1" applyFill="1" applyBorder="1"/>
    <xf numFmtId="0" fontId="4" fillId="0" borderId="1" xfId="0" applyFont="1" applyBorder="1"/>
    <xf numFmtId="164" fontId="8" fillId="6" borderId="1" xfId="1" applyNumberFormat="1" applyFont="1" applyFill="1" applyBorder="1" applyAlignment="1">
      <alignment horizontal="center" vertical="center"/>
    </xf>
    <xf numFmtId="164" fontId="4" fillId="6" borderId="1" xfId="1" applyNumberFormat="1" applyFont="1" applyFill="1" applyBorder="1"/>
    <xf numFmtId="164" fontId="2" fillId="6" borderId="1" xfId="1" applyNumberFormat="1" applyFont="1" applyFill="1" applyBorder="1"/>
    <xf numFmtId="0" fontId="4" fillId="0" borderId="1" xfId="0" applyFont="1" applyBorder="1" applyAlignment="1">
      <alignment horizontal="center"/>
    </xf>
    <xf numFmtId="0" fontId="2" fillId="0" borderId="1" xfId="0" applyFont="1" applyBorder="1"/>
    <xf numFmtId="0" fontId="2" fillId="6" borderId="1" xfId="0" applyFont="1" applyFill="1" applyBorder="1"/>
    <xf numFmtId="164" fontId="2" fillId="7" borderId="1" xfId="1" applyNumberFormat="1" applyFont="1" applyFill="1" applyBorder="1"/>
    <xf numFmtId="164" fontId="0" fillId="7" borderId="1" xfId="1" applyNumberFormat="1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0" borderId="1" xfId="1" applyNumberFormat="1" applyFont="1" applyBorder="1" applyAlignment="1">
      <alignment horizontal="center" vertical="center"/>
    </xf>
    <xf numFmtId="164" fontId="2" fillId="0" borderId="1" xfId="1" applyNumberFormat="1" applyFont="1" applyBorder="1" applyAlignment="1">
      <alignment horizontal="center"/>
    </xf>
    <xf numFmtId="0" fontId="5" fillId="4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4" fontId="5" fillId="0" borderId="1" xfId="1" applyNumberFormat="1" applyFont="1" applyBorder="1" applyAlignment="1">
      <alignment horizontal="center" vertical="center"/>
    </xf>
    <xf numFmtId="164" fontId="4" fillId="4" borderId="1" xfId="1" applyNumberFormat="1" applyFont="1" applyFill="1" applyBorder="1" applyAlignment="1">
      <alignment horizontal="center"/>
    </xf>
    <xf numFmtId="0" fontId="2" fillId="7" borderId="1" xfId="0" applyFont="1" applyFill="1" applyBorder="1"/>
    <xf numFmtId="164" fontId="0" fillId="0" borderId="1" xfId="0" applyNumberFormat="1" applyBorder="1" applyAlignment="1">
      <alignment horizontal="right"/>
    </xf>
    <xf numFmtId="0" fontId="8" fillId="4" borderId="2" xfId="0" applyFont="1" applyFill="1" applyBorder="1" applyAlignment="1">
      <alignment horizontal="right"/>
    </xf>
    <xf numFmtId="0" fontId="2" fillId="4" borderId="3" xfId="0" applyFont="1" applyFill="1" applyBorder="1" applyAlignment="1">
      <alignment horizontal="right"/>
    </xf>
    <xf numFmtId="164" fontId="2" fillId="4" borderId="4" xfId="1" applyNumberFormat="1" applyFont="1" applyFill="1" applyBorder="1"/>
    <xf numFmtId="0" fontId="0" fillId="2" borderId="1" xfId="0" applyFill="1" applyBorder="1" applyAlignment="1">
      <alignment horizontal="center"/>
    </xf>
    <xf numFmtId="3" fontId="0" fillId="0" borderId="0" xfId="0" applyNumberFormat="1"/>
    <xf numFmtId="3" fontId="4" fillId="0" borderId="1" xfId="0" applyNumberFormat="1" applyFont="1" applyBorder="1"/>
    <xf numFmtId="3" fontId="5" fillId="0" borderId="1" xfId="0" applyNumberFormat="1" applyFont="1" applyBorder="1" applyAlignment="1">
      <alignment horizontal="center"/>
    </xf>
    <xf numFmtId="3" fontId="5" fillId="2" borderId="1" xfId="0" applyNumberFormat="1" applyFont="1" applyFill="1" applyBorder="1" applyAlignment="1">
      <alignment horizontal="center"/>
    </xf>
    <xf numFmtId="3" fontId="5" fillId="0" borderId="1" xfId="0" applyNumberFormat="1" applyFont="1" applyBorder="1" applyAlignment="1">
      <alignment horizontal="center" vertical="center"/>
    </xf>
    <xf numFmtId="0" fontId="0" fillId="0" borderId="15" xfId="0" applyBorder="1"/>
    <xf numFmtId="0" fontId="16" fillId="0" borderId="1" xfId="0" applyFont="1" applyBorder="1" applyAlignment="1">
      <alignment horizontal="center"/>
    </xf>
    <xf numFmtId="0" fontId="16" fillId="0" borderId="1" xfId="0" applyFont="1" applyBorder="1"/>
    <xf numFmtId="0" fontId="0" fillId="0" borderId="17" xfId="0" applyBorder="1"/>
    <xf numFmtId="0" fontId="0" fillId="0" borderId="1" xfId="0" applyBorder="1" applyAlignment="1">
      <alignment horizontal="center"/>
    </xf>
    <xf numFmtId="0" fontId="0" fillId="0" borderId="21" xfId="0" applyBorder="1" applyAlignment="1">
      <alignment horizontal="center"/>
    </xf>
    <xf numFmtId="165" fontId="0" fillId="0" borderId="0" xfId="0" applyNumberFormat="1"/>
    <xf numFmtId="3" fontId="5" fillId="9" borderId="1" xfId="0" applyNumberFormat="1" applyFont="1" applyFill="1" applyBorder="1" applyAlignment="1">
      <alignment horizontal="center"/>
    </xf>
    <xf numFmtId="0" fontId="9" fillId="6" borderId="1" xfId="0" applyFont="1" applyFill="1" applyBorder="1" applyAlignment="1">
      <alignment horizontal="center" vertical="center" wrapText="1"/>
    </xf>
    <xf numFmtId="164" fontId="8" fillId="9" borderId="1" xfId="1" applyNumberFormat="1" applyFont="1" applyFill="1" applyBorder="1" applyAlignment="1">
      <alignment horizontal="center" vertical="center"/>
    </xf>
    <xf numFmtId="3" fontId="4" fillId="0" borderId="19" xfId="0" applyNumberFormat="1" applyFont="1" applyBorder="1"/>
    <xf numFmtId="164" fontId="5" fillId="9" borderId="17" xfId="1" applyNumberFormat="1" applyFont="1" applyFill="1" applyBorder="1"/>
    <xf numFmtId="165" fontId="15" fillId="9" borderId="16" xfId="3" applyNumberFormat="1" applyFont="1" applyFill="1" applyBorder="1"/>
    <xf numFmtId="165" fontId="15" fillId="9" borderId="17" xfId="3" applyNumberFormat="1" applyFont="1" applyFill="1" applyBorder="1"/>
    <xf numFmtId="0" fontId="0" fillId="0" borderId="16" xfId="0" applyBorder="1"/>
    <xf numFmtId="165" fontId="15" fillId="9" borderId="18" xfId="3" applyNumberFormat="1" applyFont="1" applyFill="1" applyBorder="1"/>
    <xf numFmtId="165" fontId="9" fillId="10" borderId="34" xfId="0" applyNumberFormat="1" applyFont="1" applyFill="1" applyBorder="1"/>
    <xf numFmtId="0" fontId="17" fillId="0" borderId="15" xfId="0" applyFont="1" applyBorder="1"/>
    <xf numFmtId="0" fontId="27" fillId="8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6" fillId="8" borderId="1" xfId="0" applyFont="1" applyFill="1" applyBorder="1"/>
    <xf numFmtId="0" fontId="26" fillId="8" borderId="1" xfId="0" applyFont="1" applyFill="1" applyBorder="1" applyAlignment="1">
      <alignment horizontal="center"/>
    </xf>
    <xf numFmtId="10" fontId="2" fillId="2" borderId="1" xfId="2" applyNumberFormat="1" applyFont="1" applyFill="1" applyBorder="1" applyAlignment="1">
      <alignment horizontal="center"/>
    </xf>
    <xf numFmtId="164" fontId="0" fillId="0" borderId="1" xfId="0" applyNumberFormat="1" applyBorder="1" applyAlignment="1">
      <alignment vertical="center"/>
    </xf>
    <xf numFmtId="0" fontId="0" fillId="11" borderId="1" xfId="0" applyFill="1" applyBorder="1" applyAlignment="1">
      <alignment horizontal="center"/>
    </xf>
    <xf numFmtId="164" fontId="0" fillId="4" borderId="1" xfId="1" applyNumberFormat="1" applyFont="1" applyFill="1" applyBorder="1"/>
    <xf numFmtId="3" fontId="0" fillId="0" borderId="1" xfId="0" applyNumberFormat="1" applyBorder="1"/>
    <xf numFmtId="165" fontId="2" fillId="2" borderId="1" xfId="3" applyNumberFormat="1" applyFont="1" applyFill="1" applyBorder="1"/>
    <xf numFmtId="0" fontId="28" fillId="0" borderId="0" xfId="0" applyFont="1"/>
    <xf numFmtId="0" fontId="29" fillId="0" borderId="11" xfId="0" applyFont="1" applyBorder="1"/>
    <xf numFmtId="0" fontId="29" fillId="0" borderId="3" xfId="0" applyFont="1" applyBorder="1"/>
    <xf numFmtId="0" fontId="14" fillId="4" borderId="1" xfId="0" applyFont="1" applyFill="1" applyBorder="1" applyAlignment="1">
      <alignment vertical="center"/>
    </xf>
    <xf numFmtId="164" fontId="14" fillId="4" borderId="1" xfId="1" applyNumberFormat="1" applyFont="1" applyFill="1" applyBorder="1" applyAlignment="1">
      <alignment vertical="center"/>
    </xf>
    <xf numFmtId="164" fontId="14" fillId="4" borderId="1" xfId="1" applyNumberFormat="1" applyFont="1" applyFill="1" applyBorder="1" applyAlignment="1">
      <alignment horizontal="center" vertical="center"/>
    </xf>
    <xf numFmtId="165" fontId="14" fillId="4" borderId="1" xfId="3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9" fontId="2" fillId="2" borderId="1" xfId="2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 vertical="center" wrapText="1"/>
    </xf>
    <xf numFmtId="0" fontId="0" fillId="0" borderId="8" xfId="0" applyBorder="1"/>
    <xf numFmtId="164" fontId="0" fillId="0" borderId="8" xfId="1" applyNumberFormat="1" applyFont="1" applyBorder="1"/>
    <xf numFmtId="164" fontId="2" fillId="3" borderId="1" xfId="0" applyNumberFormat="1" applyFont="1" applyFill="1" applyBorder="1"/>
    <xf numFmtId="0" fontId="2" fillId="3" borderId="0" xfId="0" applyFont="1" applyFill="1"/>
    <xf numFmtId="164" fontId="2" fillId="3" borderId="0" xfId="1" applyNumberFormat="1" applyFont="1" applyFill="1"/>
    <xf numFmtId="0" fontId="2" fillId="12" borderId="1" xfId="0" applyFont="1" applyFill="1" applyBorder="1" applyAlignment="1">
      <alignment horizontal="center" vertical="center" wrapText="1"/>
    </xf>
    <xf numFmtId="44" fontId="8" fillId="12" borderId="1" xfId="3" applyFont="1" applyFill="1" applyBorder="1"/>
    <xf numFmtId="165" fontId="8" fillId="12" borderId="1" xfId="3" applyNumberFormat="1" applyFont="1" applyFill="1" applyBorder="1" applyAlignment="1">
      <alignment vertical="center"/>
    </xf>
    <xf numFmtId="165" fontId="8" fillId="12" borderId="1" xfId="3" applyNumberFormat="1" applyFont="1" applyFill="1" applyBorder="1"/>
    <xf numFmtId="43" fontId="0" fillId="0" borderId="0" xfId="1" applyFont="1"/>
    <xf numFmtId="164" fontId="0" fillId="0" borderId="0" xfId="1" applyNumberFormat="1" applyFont="1" applyFill="1" applyBorder="1"/>
    <xf numFmtId="164" fontId="30" fillId="0" borderId="1" xfId="1" applyNumberFormat="1" applyFont="1" applyBorder="1"/>
    <xf numFmtId="164" fontId="30" fillId="0" borderId="0" xfId="1" applyNumberFormat="1" applyFont="1" applyBorder="1"/>
    <xf numFmtId="44" fontId="0" fillId="0" borderId="0" xfId="3" applyFont="1"/>
    <xf numFmtId="0" fontId="2" fillId="0" borderId="0" xfId="0" applyFont="1" applyAlignment="1">
      <alignment horizontal="center" vertical="center" wrapText="1"/>
    </xf>
    <xf numFmtId="0" fontId="32" fillId="0" borderId="1" xfId="0" applyFont="1" applyBorder="1"/>
    <xf numFmtId="164" fontId="32" fillId="0" borderId="1" xfId="1" applyNumberFormat="1" applyFont="1" applyBorder="1"/>
    <xf numFmtId="44" fontId="2" fillId="13" borderId="0" xfId="3" applyFont="1" applyFill="1"/>
    <xf numFmtId="0" fontId="2" fillId="13" borderId="0" xfId="0" applyFont="1" applyFill="1"/>
    <xf numFmtId="0" fontId="2" fillId="13" borderId="1" xfId="0" applyFont="1" applyFill="1" applyBorder="1" applyAlignment="1">
      <alignment horizontal="center"/>
    </xf>
    <xf numFmtId="165" fontId="0" fillId="0" borderId="1" xfId="3" applyNumberFormat="1" applyFont="1" applyBorder="1"/>
    <xf numFmtId="165" fontId="0" fillId="0" borderId="1" xfId="0" applyNumberFormat="1" applyBorder="1"/>
    <xf numFmtId="164" fontId="2" fillId="13" borderId="1" xfId="0" applyNumberFormat="1" applyFont="1" applyFill="1" applyBorder="1"/>
    <xf numFmtId="0" fontId="8" fillId="0" borderId="0" xfId="4" applyFont="1" applyAlignment="1">
      <alignment horizontal="center"/>
    </xf>
    <xf numFmtId="0" fontId="1" fillId="0" borderId="0" xfId="4"/>
    <xf numFmtId="0" fontId="1" fillId="0" borderId="0" xfId="4" applyAlignment="1">
      <alignment horizontal="center"/>
    </xf>
    <xf numFmtId="0" fontId="4" fillId="0" borderId="0" xfId="4" applyFont="1" applyAlignment="1">
      <alignment horizontal="center"/>
    </xf>
    <xf numFmtId="0" fontId="2" fillId="15" borderId="1" xfId="4" applyFont="1" applyFill="1" applyBorder="1" applyAlignment="1">
      <alignment horizontal="center"/>
    </xf>
    <xf numFmtId="0" fontId="2" fillId="14" borderId="1" xfId="4" applyFont="1" applyFill="1" applyBorder="1" applyAlignment="1">
      <alignment horizontal="center"/>
    </xf>
    <xf numFmtId="0" fontId="2" fillId="16" borderId="1" xfId="4" applyFont="1" applyFill="1" applyBorder="1" applyAlignment="1">
      <alignment horizontal="center"/>
    </xf>
    <xf numFmtId="0" fontId="2" fillId="17" borderId="1" xfId="4" applyFont="1" applyFill="1" applyBorder="1" applyAlignment="1">
      <alignment horizontal="center"/>
    </xf>
    <xf numFmtId="0" fontId="2" fillId="14" borderId="4" xfId="4" applyFont="1" applyFill="1" applyBorder="1" applyAlignment="1">
      <alignment horizontal="center"/>
    </xf>
    <xf numFmtId="0" fontId="2" fillId="16" borderId="4" xfId="4" applyFont="1" applyFill="1" applyBorder="1" applyAlignment="1">
      <alignment horizontal="center"/>
    </xf>
    <xf numFmtId="0" fontId="2" fillId="17" borderId="4" xfId="4" applyFont="1" applyFill="1" applyBorder="1" applyAlignment="1">
      <alignment horizontal="center"/>
    </xf>
    <xf numFmtId="0" fontId="5" fillId="0" borderId="1" xfId="4" applyFont="1" applyBorder="1"/>
    <xf numFmtId="0" fontId="5" fillId="15" borderId="0" xfId="4" applyFont="1" applyFill="1"/>
    <xf numFmtId="164" fontId="5" fillId="15" borderId="1" xfId="5" applyNumberFormat="1" applyFont="1" applyFill="1" applyBorder="1"/>
    <xf numFmtId="0" fontId="5" fillId="0" borderId="0" xfId="4" applyFont="1"/>
    <xf numFmtId="164" fontId="5" fillId="0" borderId="1" xfId="5" applyNumberFormat="1" applyFont="1" applyBorder="1"/>
    <xf numFmtId="0" fontId="5" fillId="16" borderId="0" xfId="4" applyFont="1" applyFill="1"/>
    <xf numFmtId="164" fontId="5" fillId="16" borderId="1" xfId="5" applyNumberFormat="1" applyFont="1" applyFill="1" applyBorder="1"/>
    <xf numFmtId="0" fontId="5" fillId="17" borderId="0" xfId="4" applyFont="1" applyFill="1"/>
    <xf numFmtId="164" fontId="5" fillId="17" borderId="1" xfId="5" applyNumberFormat="1" applyFont="1" applyFill="1" applyBorder="1"/>
    <xf numFmtId="164" fontId="5" fillId="0" borderId="4" xfId="5" applyNumberFormat="1" applyFont="1" applyBorder="1"/>
    <xf numFmtId="164" fontId="5" fillId="16" borderId="4" xfId="5" applyNumberFormat="1" applyFont="1" applyFill="1" applyBorder="1"/>
    <xf numFmtId="164" fontId="5" fillId="17" borderId="4" xfId="5" applyNumberFormat="1" applyFont="1" applyFill="1" applyBorder="1"/>
    <xf numFmtId="0" fontId="4" fillId="1" borderId="1" xfId="4" applyFont="1" applyFill="1" applyBorder="1"/>
    <xf numFmtId="164" fontId="4" fillId="18" borderId="1" xfId="5" applyNumberFormat="1" applyFont="1" applyFill="1" applyBorder="1"/>
    <xf numFmtId="164" fontId="4" fillId="1" borderId="4" xfId="5" applyNumberFormat="1" applyFont="1" applyFill="1" applyBorder="1"/>
    <xf numFmtId="164" fontId="4" fillId="1" borderId="1" xfId="5" applyNumberFormat="1" applyFont="1" applyFill="1" applyBorder="1"/>
    <xf numFmtId="164" fontId="4" fillId="19" borderId="4" xfId="5" applyNumberFormat="1" applyFont="1" applyFill="1" applyBorder="1"/>
    <xf numFmtId="164" fontId="4" fillId="19" borderId="1" xfId="5" applyNumberFormat="1" applyFont="1" applyFill="1" applyBorder="1"/>
    <xf numFmtId="164" fontId="4" fillId="20" borderId="4" xfId="5" applyNumberFormat="1" applyFont="1" applyFill="1" applyBorder="1"/>
    <xf numFmtId="164" fontId="4" fillId="20" borderId="1" xfId="5" applyNumberFormat="1" applyFont="1" applyFill="1" applyBorder="1"/>
    <xf numFmtId="0" fontId="4" fillId="0" borderId="1" xfId="4" applyFont="1" applyBorder="1"/>
    <xf numFmtId="164" fontId="4" fillId="15" borderId="1" xfId="5" applyNumberFormat="1" applyFont="1" applyFill="1" applyBorder="1"/>
    <xf numFmtId="164" fontId="4" fillId="0" borderId="4" xfId="5" applyNumberFormat="1" applyFont="1" applyBorder="1"/>
    <xf numFmtId="164" fontId="4" fillId="16" borderId="4" xfId="5" applyNumberFormat="1" applyFont="1" applyFill="1" applyBorder="1"/>
    <xf numFmtId="164" fontId="4" fillId="17" borderId="4" xfId="5" applyNumberFormat="1" applyFont="1" applyFill="1" applyBorder="1"/>
    <xf numFmtId="164" fontId="4" fillId="0" borderId="1" xfId="5" applyNumberFormat="1" applyFont="1" applyBorder="1"/>
    <xf numFmtId="164" fontId="4" fillId="16" borderId="1" xfId="5" applyNumberFormat="1" applyFont="1" applyFill="1" applyBorder="1"/>
    <xf numFmtId="164" fontId="4" fillId="17" borderId="1" xfId="5" applyNumberFormat="1" applyFont="1" applyFill="1" applyBorder="1"/>
    <xf numFmtId="166" fontId="4" fillId="18" borderId="1" xfId="5" applyNumberFormat="1" applyFont="1" applyFill="1" applyBorder="1"/>
    <xf numFmtId="166" fontId="4" fillId="1" borderId="1" xfId="5" applyNumberFormat="1" applyFont="1" applyFill="1" applyBorder="1"/>
    <xf numFmtId="166" fontId="4" fillId="19" borderId="1" xfId="5" applyNumberFormat="1" applyFont="1" applyFill="1" applyBorder="1"/>
    <xf numFmtId="167" fontId="1" fillId="0" borderId="0" xfId="2" applyNumberFormat="1"/>
    <xf numFmtId="0" fontId="1" fillId="0" borderId="11" xfId="4" applyBorder="1"/>
    <xf numFmtId="0" fontId="34" fillId="0" borderId="11" xfId="4" applyFont="1" applyBorder="1"/>
    <xf numFmtId="0" fontId="34" fillId="0" borderId="0" xfId="4" applyFont="1"/>
    <xf numFmtId="164" fontId="5" fillId="22" borderId="4" xfId="5" applyNumberFormat="1" applyFont="1" applyFill="1" applyBorder="1"/>
    <xf numFmtId="9" fontId="5" fillId="17" borderId="0" xfId="4" applyNumberFormat="1" applyFont="1" applyFill="1" applyAlignment="1">
      <alignment horizontal="center"/>
    </xf>
    <xf numFmtId="9" fontId="5" fillId="16" borderId="0" xfId="4" applyNumberFormat="1" applyFont="1" applyFill="1" applyAlignment="1">
      <alignment horizontal="center"/>
    </xf>
    <xf numFmtId="9" fontId="5" fillId="0" borderId="0" xfId="4" applyNumberFormat="1" applyFont="1" applyAlignment="1">
      <alignment horizontal="center"/>
    </xf>
    <xf numFmtId="9" fontId="5" fillId="15" borderId="0" xfId="4" applyNumberFormat="1" applyFont="1" applyFill="1" applyAlignment="1">
      <alignment horizontal="center"/>
    </xf>
    <xf numFmtId="164" fontId="4" fillId="23" borderId="4" xfId="5" applyNumberFormat="1" applyFont="1" applyFill="1" applyBorder="1"/>
    <xf numFmtId="166" fontId="4" fillId="23" borderId="1" xfId="5" applyNumberFormat="1" applyFont="1" applyFill="1" applyBorder="1"/>
    <xf numFmtId="0" fontId="5" fillId="22" borderId="0" xfId="4" applyFont="1" applyFill="1"/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6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5" borderId="1" xfId="0" applyFont="1" applyFill="1" applyBorder="1" applyAlignment="1">
      <alignment horizontal="right"/>
    </xf>
    <xf numFmtId="0" fontId="2" fillId="0" borderId="0" xfId="0" applyFont="1" applyAlignment="1">
      <alignment horizontal="center"/>
    </xf>
    <xf numFmtId="0" fontId="8" fillId="6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5" fillId="0" borderId="17" xfId="0" applyFont="1" applyBorder="1" applyAlignment="1">
      <alignment horizontal="left"/>
    </xf>
    <xf numFmtId="0" fontId="23" fillId="8" borderId="12" xfId="0" applyFont="1" applyFill="1" applyBorder="1" applyAlignment="1">
      <alignment horizontal="center"/>
    </xf>
    <xf numFmtId="0" fontId="23" fillId="8" borderId="13" xfId="0" applyFont="1" applyFill="1" applyBorder="1" applyAlignment="1">
      <alignment horizontal="center"/>
    </xf>
    <xf numFmtId="0" fontId="23" fillId="8" borderId="14" xfId="0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6" xfId="0" applyBorder="1" applyAlignment="1">
      <alignment horizontal="center"/>
    </xf>
    <xf numFmtId="0" fontId="25" fillId="8" borderId="19" xfId="0" applyFont="1" applyFill="1" applyBorder="1" applyAlignment="1">
      <alignment horizontal="center" vertical="center"/>
    </xf>
    <xf numFmtId="0" fontId="25" fillId="8" borderId="20" xfId="0" applyFont="1" applyFill="1" applyBorder="1" applyAlignment="1">
      <alignment horizontal="center" vertical="center"/>
    </xf>
    <xf numFmtId="0" fontId="24" fillId="8" borderId="1" xfId="0" applyFont="1" applyFill="1" applyBorder="1" applyAlignment="1">
      <alignment horizontal="center" vertical="center"/>
    </xf>
    <xf numFmtId="0" fontId="24" fillId="8" borderId="17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21" xfId="0" applyBorder="1" applyAlignment="1">
      <alignment horizontal="left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3" fontId="0" fillId="0" borderId="22" xfId="0" applyNumberFormat="1" applyBorder="1" applyAlignment="1">
      <alignment horizontal="center"/>
    </xf>
    <xf numFmtId="3" fontId="0" fillId="0" borderId="25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3" fontId="0" fillId="0" borderId="2" xfId="0" applyNumberFormat="1" applyBorder="1" applyAlignment="1">
      <alignment horizontal="center"/>
    </xf>
    <xf numFmtId="3" fontId="0" fillId="0" borderId="18" xfId="0" applyNumberFormat="1" applyBorder="1" applyAlignment="1">
      <alignment horizontal="center"/>
    </xf>
    <xf numFmtId="0" fontId="0" fillId="0" borderId="18" xfId="0" applyBorder="1" applyAlignment="1">
      <alignment horizontal="center"/>
    </xf>
    <xf numFmtId="0" fontId="4" fillId="6" borderId="1" xfId="0" applyFont="1" applyFill="1" applyBorder="1" applyAlignment="1">
      <alignment horizontal="center" vertical="center"/>
    </xf>
    <xf numFmtId="9" fontId="4" fillId="0" borderId="1" xfId="2" applyFont="1" applyBorder="1" applyAlignment="1">
      <alignment horizontal="center"/>
    </xf>
    <xf numFmtId="0" fontId="13" fillId="6" borderId="5" xfId="0" applyFont="1" applyFill="1" applyBorder="1" applyAlignment="1">
      <alignment horizontal="center" vertical="center" wrapText="1" readingOrder="1"/>
    </xf>
    <xf numFmtId="0" fontId="13" fillId="6" borderId="0" xfId="0" applyFont="1" applyFill="1" applyAlignment="1">
      <alignment horizontal="center" vertical="center" wrapText="1" readingOrder="1"/>
    </xf>
    <xf numFmtId="0" fontId="13" fillId="6" borderId="6" xfId="0" applyFont="1" applyFill="1" applyBorder="1" applyAlignment="1">
      <alignment horizontal="center" vertical="center" wrapText="1" readingOrder="1"/>
    </xf>
    <xf numFmtId="0" fontId="11" fillId="6" borderId="1" xfId="0" applyFont="1" applyFill="1" applyBorder="1" applyAlignment="1">
      <alignment horizontal="center" vertical="center" wrapText="1" readingOrder="1"/>
    </xf>
    <xf numFmtId="0" fontId="9" fillId="0" borderId="0" xfId="0" applyFont="1" applyAlignment="1">
      <alignment horizontal="center"/>
    </xf>
    <xf numFmtId="0" fontId="10" fillId="6" borderId="0" xfId="0" applyFont="1" applyFill="1" applyAlignment="1">
      <alignment horizontal="center" vertical="center" readingOrder="1"/>
    </xf>
    <xf numFmtId="0" fontId="2" fillId="7" borderId="2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9" fontId="2" fillId="6" borderId="2" xfId="2" applyFont="1" applyFill="1" applyBorder="1" applyAlignment="1">
      <alignment horizontal="center"/>
    </xf>
    <xf numFmtId="9" fontId="2" fillId="6" borderId="3" xfId="2" applyFont="1" applyFill="1" applyBorder="1" applyAlignment="1">
      <alignment horizontal="center"/>
    </xf>
    <xf numFmtId="9" fontId="2" fillId="6" borderId="4" xfId="2" applyFont="1" applyFill="1" applyBorder="1" applyAlignment="1">
      <alignment horizontal="center"/>
    </xf>
    <xf numFmtId="3" fontId="14" fillId="9" borderId="7" xfId="0" applyNumberFormat="1" applyFont="1" applyFill="1" applyBorder="1" applyAlignment="1">
      <alignment horizontal="center" wrapText="1"/>
    </xf>
    <xf numFmtId="3" fontId="14" fillId="9" borderId="8" xfId="0" applyNumberFormat="1" applyFont="1" applyFill="1" applyBorder="1" applyAlignment="1">
      <alignment horizontal="center" wrapText="1"/>
    </xf>
    <xf numFmtId="3" fontId="14" fillId="9" borderId="19" xfId="0" applyNumberFormat="1" applyFont="1" applyFill="1" applyBorder="1" applyAlignment="1">
      <alignment horizontal="center" vertical="center"/>
    </xf>
    <xf numFmtId="3" fontId="14" fillId="9" borderId="1" xfId="0" applyNumberFormat="1" applyFont="1" applyFill="1" applyBorder="1" applyAlignment="1">
      <alignment horizontal="center" vertical="center"/>
    </xf>
    <xf numFmtId="3" fontId="15" fillId="9" borderId="31" xfId="0" applyNumberFormat="1" applyFont="1" applyFill="1" applyBorder="1" applyAlignment="1">
      <alignment horizontal="center" vertical="center" wrapText="1"/>
    </xf>
    <xf numFmtId="3" fontId="15" fillId="9" borderId="32" xfId="0" applyNumberFormat="1" applyFont="1" applyFill="1" applyBorder="1" applyAlignment="1">
      <alignment horizontal="center" vertical="center" wrapText="1"/>
    </xf>
    <xf numFmtId="0" fontId="15" fillId="9" borderId="33" xfId="0" applyFont="1" applyFill="1" applyBorder="1" applyAlignment="1">
      <alignment horizontal="center"/>
    </xf>
    <xf numFmtId="0" fontId="15" fillId="9" borderId="10" xfId="0" applyFont="1" applyFill="1" applyBorder="1" applyAlignment="1">
      <alignment horizontal="center"/>
    </xf>
    <xf numFmtId="3" fontId="19" fillId="9" borderId="26" xfId="0" applyNumberFormat="1" applyFont="1" applyFill="1" applyBorder="1" applyAlignment="1">
      <alignment horizontal="center"/>
    </xf>
    <xf numFmtId="3" fontId="19" fillId="9" borderId="27" xfId="0" applyNumberFormat="1" applyFont="1" applyFill="1" applyBorder="1" applyAlignment="1">
      <alignment horizontal="center"/>
    </xf>
    <xf numFmtId="3" fontId="19" fillId="9" borderId="28" xfId="0" applyNumberFormat="1" applyFont="1" applyFill="1" applyBorder="1" applyAlignment="1">
      <alignment horizontal="center"/>
    </xf>
    <xf numFmtId="3" fontId="21" fillId="8" borderId="29" xfId="0" applyNumberFormat="1" applyFont="1" applyFill="1" applyBorder="1" applyAlignment="1">
      <alignment horizontal="center" vertical="center"/>
    </xf>
    <xf numFmtId="3" fontId="21" fillId="8" borderId="11" xfId="0" applyNumberFormat="1" applyFont="1" applyFill="1" applyBorder="1" applyAlignment="1">
      <alignment horizontal="center" vertical="center"/>
    </xf>
    <xf numFmtId="3" fontId="21" fillId="8" borderId="30" xfId="0" applyNumberFormat="1" applyFont="1" applyFill="1" applyBorder="1" applyAlignment="1">
      <alignment horizontal="center" vertical="center"/>
    </xf>
    <xf numFmtId="4" fontId="22" fillId="0" borderId="7" xfId="0" applyNumberFormat="1" applyFont="1" applyBorder="1" applyAlignment="1">
      <alignment horizontal="center" vertical="center"/>
    </xf>
    <xf numFmtId="4" fontId="22" fillId="0" borderId="9" xfId="0" applyNumberFormat="1" applyFont="1" applyBorder="1" applyAlignment="1">
      <alignment horizontal="center" vertical="center"/>
    </xf>
    <xf numFmtId="4" fontId="22" fillId="0" borderId="8" xfId="0" applyNumberFormat="1" applyFont="1" applyBorder="1" applyAlignment="1">
      <alignment horizontal="center" vertical="center"/>
    </xf>
    <xf numFmtId="3" fontId="20" fillId="8" borderId="29" xfId="0" applyNumberFormat="1" applyFont="1" applyFill="1" applyBorder="1" applyAlignment="1">
      <alignment horizontal="center" vertical="center"/>
    </xf>
    <xf numFmtId="3" fontId="20" fillId="8" borderId="11" xfId="0" applyNumberFormat="1" applyFont="1" applyFill="1" applyBorder="1" applyAlignment="1">
      <alignment horizontal="center" vertical="center"/>
    </xf>
    <xf numFmtId="3" fontId="20" fillId="8" borderId="30" xfId="0" applyNumberFormat="1" applyFont="1" applyFill="1" applyBorder="1" applyAlignment="1">
      <alignment horizontal="center" vertical="center"/>
    </xf>
    <xf numFmtId="3" fontId="22" fillId="0" borderId="7" xfId="0" applyNumberFormat="1" applyFont="1" applyBorder="1" applyAlignment="1">
      <alignment horizontal="center" vertical="center"/>
    </xf>
    <xf numFmtId="3" fontId="22" fillId="0" borderId="9" xfId="0" applyNumberFormat="1" applyFont="1" applyBorder="1" applyAlignment="1">
      <alignment horizontal="center" vertical="center"/>
    </xf>
    <xf numFmtId="3" fontId="22" fillId="0" borderId="8" xfId="0" applyNumberFormat="1" applyFont="1" applyBorder="1" applyAlignment="1">
      <alignment horizontal="center" vertical="center"/>
    </xf>
    <xf numFmtId="0" fontId="15" fillId="10" borderId="20" xfId="0" applyFont="1" applyFill="1" applyBorder="1" applyAlignment="1">
      <alignment horizontal="center"/>
    </xf>
    <xf numFmtId="0" fontId="15" fillId="10" borderId="21" xfId="0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3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0" fontId="2" fillId="3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29" fillId="0" borderId="0" xfId="0" applyFont="1" applyAlignment="1">
      <alignment horizontal="center"/>
    </xf>
    <xf numFmtId="44" fontId="2" fillId="13" borderId="1" xfId="3" applyFont="1" applyFill="1" applyBorder="1" applyAlignment="1">
      <alignment horizontal="center"/>
    </xf>
    <xf numFmtId="0" fontId="2" fillId="13" borderId="1" xfId="0" applyFont="1" applyFill="1" applyBorder="1" applyAlignment="1">
      <alignment horizontal="center"/>
    </xf>
    <xf numFmtId="0" fontId="4" fillId="21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14" borderId="1" xfId="4" applyFont="1" applyFill="1" applyBorder="1" applyAlignment="1">
      <alignment horizontal="center"/>
    </xf>
    <xf numFmtId="0" fontId="2" fillId="16" borderId="1" xfId="4" applyFont="1" applyFill="1" applyBorder="1" applyAlignment="1">
      <alignment horizontal="center"/>
    </xf>
    <xf numFmtId="0" fontId="2" fillId="17" borderId="1" xfId="4" applyFont="1" applyFill="1" applyBorder="1" applyAlignment="1">
      <alignment horizontal="center"/>
    </xf>
    <xf numFmtId="0" fontId="8" fillId="0" borderId="0" xfId="4" applyFont="1" applyAlignment="1">
      <alignment horizontal="center"/>
    </xf>
    <xf numFmtId="0" fontId="1" fillId="0" borderId="0" xfId="4" applyAlignment="1">
      <alignment horizontal="center"/>
    </xf>
    <xf numFmtId="0" fontId="4" fillId="0" borderId="0" xfId="4" applyFont="1" applyAlignment="1">
      <alignment horizontal="center"/>
    </xf>
    <xf numFmtId="0" fontId="2" fillId="14" borderId="7" xfId="4" applyFont="1" applyFill="1" applyBorder="1" applyAlignment="1">
      <alignment horizontal="center" vertical="center"/>
    </xf>
    <xf numFmtId="0" fontId="2" fillId="14" borderId="8" xfId="4" applyFont="1" applyFill="1" applyBorder="1" applyAlignment="1">
      <alignment horizontal="center" vertical="center"/>
    </xf>
    <xf numFmtId="0" fontId="2" fillId="15" borderId="1" xfId="4" applyFont="1" applyFill="1" applyBorder="1" applyAlignment="1">
      <alignment horizontal="center"/>
    </xf>
    <xf numFmtId="164" fontId="2" fillId="3" borderId="0" xfId="0" applyNumberFormat="1" applyFont="1" applyFill="1"/>
    <xf numFmtId="0" fontId="2" fillId="3" borderId="0" xfId="0" applyFont="1" applyFill="1" applyAlignment="1">
      <alignment horizontal="center"/>
    </xf>
    <xf numFmtId="164" fontId="0" fillId="3" borderId="0" xfId="0" applyNumberFormat="1" applyFill="1"/>
    <xf numFmtId="0" fontId="0" fillId="3" borderId="0" xfId="0" applyFill="1"/>
  </cellXfs>
  <cellStyles count="6">
    <cellStyle name="Millares" xfId="1" builtinId="3"/>
    <cellStyle name="Millares 2" xfId="5" xr:uid="{DD85FE91-B756-45A2-8123-C9E1194A2D91}"/>
    <cellStyle name="Moneda" xfId="3" builtinId="4"/>
    <cellStyle name="Normal" xfId="0" builtinId="0"/>
    <cellStyle name="Normal 2" xfId="4" xr:uid="{D41AED07-A1C7-47F2-AFE4-AFEC3839B4A3}"/>
    <cellStyle name="Porcentaje" xfId="2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CO"/>
              <a:t>Presupuesto  de ventas año 2026</a:t>
            </a:r>
          </a:p>
          <a:p>
            <a:pPr>
              <a:defRPr/>
            </a:pPr>
            <a:endParaRPr lang="es-CO"/>
          </a:p>
        </c:rich>
      </c:tx>
      <c:layout>
        <c:manualLayout>
          <c:xMode val="edge"/>
          <c:yMode val="edge"/>
          <c:x val="0.17775048692864029"/>
          <c:y val="3.539823008849557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'Presupuesto de producción'!$A$11:$A$22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'Presupuesto de producción'!$B$11:$B$22</c:f>
              <c:numCache>
                <c:formatCode>0%</c:formatCode>
                <c:ptCount val="12"/>
                <c:pt idx="0">
                  <c:v>0.05</c:v>
                </c:pt>
                <c:pt idx="1">
                  <c:v>0.05</c:v>
                </c:pt>
                <c:pt idx="2">
                  <c:v>7.0000000000000007E-2</c:v>
                </c:pt>
                <c:pt idx="3">
                  <c:v>0.08</c:v>
                </c:pt>
                <c:pt idx="4">
                  <c:v>0.1</c:v>
                </c:pt>
                <c:pt idx="5">
                  <c:v>0.1</c:v>
                </c:pt>
                <c:pt idx="6">
                  <c:v>0.08</c:v>
                </c:pt>
                <c:pt idx="7">
                  <c:v>7.0000000000000007E-2</c:v>
                </c:pt>
                <c:pt idx="8">
                  <c:v>0.08</c:v>
                </c:pt>
                <c:pt idx="9">
                  <c:v>0.12</c:v>
                </c:pt>
                <c:pt idx="10">
                  <c:v>0.15</c:v>
                </c:pt>
                <c:pt idx="11">
                  <c:v>0.05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B2-43BF-AA8B-4E618DB7F396}"/>
            </c:ext>
          </c:extLst>
        </c:ser>
        <c:ser>
          <c:idx val="1"/>
          <c:order val="1"/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'Presupuesto de producción'!$A$11:$A$22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'Presupuesto de producción'!$C$11:$C$22</c:f>
              <c:numCache>
                <c:formatCode>0%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1-2FB2-43BF-AA8B-4E618DB7F3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111793440"/>
        <c:axId val="-111796704"/>
      </c:barChart>
      <c:lineChart>
        <c:grouping val="standard"/>
        <c:varyColors val="0"/>
        <c:ser>
          <c:idx val="2"/>
          <c:order val="2"/>
          <c:spPr>
            <a:ln w="34925" cap="rnd">
              <a:solidFill>
                <a:schemeClr val="accent3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cat>
            <c:strRef>
              <c:f>'Presupuesto de producción'!$A$11:$A$22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'Presupuesto de producción'!$D$11:$D$22</c:f>
              <c:numCache>
                <c:formatCode>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FB2-43BF-AA8B-4E618DB7F396}"/>
            </c:ext>
          </c:extLst>
        </c:ser>
        <c:ser>
          <c:idx val="3"/>
          <c:order val="3"/>
          <c:spPr>
            <a:ln w="34925" cap="rnd">
              <a:solidFill>
                <a:schemeClr val="accent4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cat>
            <c:strRef>
              <c:f>'Presupuesto de producción'!$A$11:$A$22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'Presupuesto de producción'!$E$11:$E$22</c:f>
              <c:numCache>
                <c:formatCode>_-* #,##0_-;\-* #,##0_-;_-* "-"??_-;_-@_-</c:formatCode>
                <c:ptCount val="12"/>
                <c:pt idx="0">
                  <c:v>910</c:v>
                </c:pt>
                <c:pt idx="1">
                  <c:v>910</c:v>
                </c:pt>
                <c:pt idx="2">
                  <c:v>1274.0000000000002</c:v>
                </c:pt>
                <c:pt idx="3">
                  <c:v>1456</c:v>
                </c:pt>
                <c:pt idx="4">
                  <c:v>1820</c:v>
                </c:pt>
                <c:pt idx="5">
                  <c:v>1820</c:v>
                </c:pt>
                <c:pt idx="6">
                  <c:v>1456</c:v>
                </c:pt>
                <c:pt idx="7">
                  <c:v>1274.0000000000002</c:v>
                </c:pt>
                <c:pt idx="8">
                  <c:v>1456</c:v>
                </c:pt>
                <c:pt idx="9">
                  <c:v>2184</c:v>
                </c:pt>
                <c:pt idx="10">
                  <c:v>2730</c:v>
                </c:pt>
                <c:pt idx="11">
                  <c:v>910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FB2-43BF-AA8B-4E618DB7F3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11796160"/>
        <c:axId val="-111799968"/>
      </c:lineChart>
      <c:catAx>
        <c:axId val="-111793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111796704"/>
        <c:crosses val="autoZero"/>
        <c:auto val="1"/>
        <c:lblAlgn val="ctr"/>
        <c:lblOffset val="100"/>
        <c:noMultiLvlLbl val="0"/>
      </c:catAx>
      <c:valAx>
        <c:axId val="-111796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111793440"/>
        <c:crosses val="autoZero"/>
        <c:crossBetween val="between"/>
      </c:valAx>
      <c:valAx>
        <c:axId val="-111799968"/>
        <c:scaling>
          <c:orientation val="minMax"/>
        </c:scaling>
        <c:delete val="0"/>
        <c:axPos val="r"/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111796160"/>
        <c:crosses val="max"/>
        <c:crossBetween val="between"/>
      </c:valAx>
      <c:catAx>
        <c:axId val="-11179616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-111799968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spPr>
          <a:noFill/>
          <a:ln w="9525">
            <a:solidFill>
              <a:schemeClr val="lt1">
                <a:lumMod val="95000"/>
                <a:alpha val="54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</xdr:row>
      <xdr:rowOff>5603</xdr:rowOff>
    </xdr:from>
    <xdr:to>
      <xdr:col>4</xdr:col>
      <xdr:colOff>5602</xdr:colOff>
      <xdr:row>33</xdr:row>
      <xdr:rowOff>93777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40BD827-54D3-4755-802E-E26446B760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339103"/>
          <a:ext cx="4056528" cy="50411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201083</xdr:colOff>
      <xdr:row>1</xdr:row>
      <xdr:rowOff>47625</xdr:rowOff>
    </xdr:from>
    <xdr:to>
      <xdr:col>2</xdr:col>
      <xdr:colOff>403493</xdr:colOff>
      <xdr:row>1</xdr:row>
      <xdr:rowOff>160735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5D7EB7F9-A598-4FE7-9110-4775A530EC4B}"/>
            </a:ext>
          </a:extLst>
        </xdr:cNvPr>
        <xdr:cNvGrpSpPr/>
      </xdr:nvGrpSpPr>
      <xdr:grpSpPr>
        <a:xfrm>
          <a:off x="1677458" y="238125"/>
          <a:ext cx="202410" cy="113110"/>
          <a:chOff x="1714496" y="208359"/>
          <a:chExt cx="204470" cy="148590"/>
        </a:xfrm>
      </xdr:grpSpPr>
      <xdr:sp macro="" textlink="">
        <xdr:nvSpPr>
          <xdr:cNvPr id="3" name="Triángulo isósceles 2">
            <a:extLst>
              <a:ext uri="{FF2B5EF4-FFF2-40B4-BE49-F238E27FC236}">
                <a16:creationId xmlns:a16="http://schemas.microsoft.com/office/drawing/2014/main" id="{ADC1CDAF-745F-F528-0FDF-97036E818B77}"/>
              </a:ext>
            </a:extLst>
          </xdr:cNvPr>
          <xdr:cNvSpPr/>
        </xdr:nvSpPr>
        <xdr:spPr>
          <a:xfrm>
            <a:off x="1714496" y="208359"/>
            <a:ext cx="105410" cy="141605"/>
          </a:xfrm>
          <a:prstGeom prst="triangle">
            <a:avLst/>
          </a:prstGeom>
          <a:solidFill>
            <a:schemeClr val="accent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es-CO"/>
          </a:p>
        </xdr:txBody>
      </xdr:sp>
      <xdr:sp macro="" textlink="">
        <xdr:nvSpPr>
          <xdr:cNvPr id="4" name="Triángulo isósceles 3">
            <a:extLst>
              <a:ext uri="{FF2B5EF4-FFF2-40B4-BE49-F238E27FC236}">
                <a16:creationId xmlns:a16="http://schemas.microsoft.com/office/drawing/2014/main" id="{FD03B9B2-4624-2B36-913E-034163FD68D1}"/>
              </a:ext>
            </a:extLst>
          </xdr:cNvPr>
          <xdr:cNvSpPr/>
        </xdr:nvSpPr>
        <xdr:spPr>
          <a:xfrm rot="10800000">
            <a:off x="1806571" y="210899"/>
            <a:ext cx="112395" cy="146050"/>
          </a:xfrm>
          <a:prstGeom prst="triangle">
            <a:avLst/>
          </a:prstGeom>
          <a:solidFill>
            <a:schemeClr val="accent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es-CO"/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273841</xdr:colOff>
      <xdr:row>1</xdr:row>
      <xdr:rowOff>41671</xdr:rowOff>
    </xdr:from>
    <xdr:to>
      <xdr:col>2</xdr:col>
      <xdr:colOff>476251</xdr:colOff>
      <xdr:row>1</xdr:row>
      <xdr:rowOff>154781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2A42F92C-DF0A-8DA5-56FD-AF2FA8728EE6}"/>
            </a:ext>
          </a:extLst>
        </xdr:cNvPr>
        <xdr:cNvGrpSpPr/>
      </xdr:nvGrpSpPr>
      <xdr:grpSpPr>
        <a:xfrm>
          <a:off x="1797841" y="232171"/>
          <a:ext cx="202410" cy="113110"/>
          <a:chOff x="1714496" y="208359"/>
          <a:chExt cx="204470" cy="148590"/>
        </a:xfrm>
      </xdr:grpSpPr>
      <xdr:sp macro="" textlink="">
        <xdr:nvSpPr>
          <xdr:cNvPr id="2" name="Triángulo isósceles 1">
            <a:extLst>
              <a:ext uri="{FF2B5EF4-FFF2-40B4-BE49-F238E27FC236}">
                <a16:creationId xmlns:a16="http://schemas.microsoft.com/office/drawing/2014/main" id="{4BAAFBDA-F426-7F80-F0E7-E8E845911B91}"/>
              </a:ext>
            </a:extLst>
          </xdr:cNvPr>
          <xdr:cNvSpPr/>
        </xdr:nvSpPr>
        <xdr:spPr>
          <a:xfrm>
            <a:off x="1714496" y="208359"/>
            <a:ext cx="105410" cy="141605"/>
          </a:xfrm>
          <a:prstGeom prst="triangle">
            <a:avLst/>
          </a:prstGeom>
          <a:solidFill>
            <a:schemeClr val="accent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es-CO"/>
          </a:p>
        </xdr:txBody>
      </xdr:sp>
      <xdr:sp macro="" textlink="">
        <xdr:nvSpPr>
          <xdr:cNvPr id="3" name="Triángulo isósceles 2">
            <a:extLst>
              <a:ext uri="{FF2B5EF4-FFF2-40B4-BE49-F238E27FC236}">
                <a16:creationId xmlns:a16="http://schemas.microsoft.com/office/drawing/2014/main" id="{AEB4AEBF-BBC9-6771-0AA2-CCD847602C7E}"/>
              </a:ext>
            </a:extLst>
          </xdr:cNvPr>
          <xdr:cNvSpPr/>
        </xdr:nvSpPr>
        <xdr:spPr>
          <a:xfrm rot="10800000">
            <a:off x="1806571" y="210899"/>
            <a:ext cx="112395" cy="146050"/>
          </a:xfrm>
          <a:prstGeom prst="triangle">
            <a:avLst/>
          </a:prstGeom>
          <a:solidFill>
            <a:schemeClr val="accent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es-CO"/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632557</xdr:colOff>
      <xdr:row>0</xdr:row>
      <xdr:rowOff>48847</xdr:rowOff>
    </xdr:from>
    <xdr:to>
      <xdr:col>7</xdr:col>
      <xdr:colOff>616348</xdr:colOff>
      <xdr:row>9</xdr:row>
      <xdr:rowOff>52854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ADB1732-EF4B-E663-02BA-BDCD6846BE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duotone>
            <a:prstClr val="black"/>
            <a:srgbClr val="D9C3A5">
              <a:tint val="50000"/>
              <a:satMod val="180000"/>
            </a:srgbClr>
          </a:duotone>
        </a:blip>
        <a:stretch>
          <a:fillRect/>
        </a:stretch>
      </xdr:blipFill>
      <xdr:spPr>
        <a:xfrm>
          <a:off x="4442557" y="48847"/>
          <a:ext cx="1507791" cy="167454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647698</xdr:colOff>
      <xdr:row>8</xdr:row>
      <xdr:rowOff>38100</xdr:rowOff>
    </xdr:from>
    <xdr:to>
      <xdr:col>15</xdr:col>
      <xdr:colOff>533399</xdr:colOff>
      <xdr:row>23</xdr:row>
      <xdr:rowOff>57150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636C4AC4-3003-298E-756F-734D89BCB4A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airo\AppData\Local\Temp\MicrosoftEdgeDownloads\1f9d0e5c-f5ee-48a5-ac9a-c055322294a4\presupuesto_conjunto_deportivo_integrad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ametros"/>
      <sheetName val="Presupuesto"/>
      <sheetName val="Resumen"/>
      <sheetName val="Ficha técnica"/>
    </sheetNames>
    <sheetDataSet>
      <sheetData sheetId="0"/>
      <sheetData sheetId="1">
        <row r="2">
          <cell r="A2" t="str">
            <v>Tela principal Leggins</v>
          </cell>
          <cell r="B2" t="str">
            <v>metro</v>
          </cell>
          <cell r="E2">
            <v>15000</v>
          </cell>
        </row>
        <row r="3">
          <cell r="A3" t="str">
            <v>Tela principal Top</v>
          </cell>
          <cell r="B3" t="str">
            <v>metro</v>
          </cell>
          <cell r="E3">
            <v>22000</v>
          </cell>
        </row>
        <row r="4">
          <cell r="A4" t="str">
            <v>Cinta adhesiva termofusible</v>
          </cell>
          <cell r="B4" t="str">
            <v>metro</v>
          </cell>
          <cell r="C4">
            <v>2</v>
          </cell>
          <cell r="E4">
            <v>1500</v>
          </cell>
        </row>
        <row r="5">
          <cell r="A5" t="str">
            <v>Elástico termosellable</v>
          </cell>
          <cell r="B5" t="str">
            <v>metro</v>
          </cell>
          <cell r="C5">
            <v>1</v>
          </cell>
          <cell r="E5">
            <v>1000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D7"/>
  <sheetViews>
    <sheetView topLeftCell="A23" zoomScale="190" zoomScaleNormal="190" workbookViewId="0">
      <selection activeCell="E15" sqref="E14:E15"/>
    </sheetView>
  </sheetViews>
  <sheetFormatPr baseColWidth="10" defaultColWidth="11.5703125" defaultRowHeight="15" x14ac:dyDescent="0.25"/>
  <cols>
    <col min="1" max="1" width="13.5703125" style="1" customWidth="1"/>
    <col min="2" max="3" width="14.42578125" style="1" customWidth="1"/>
    <col min="4" max="4" width="18.42578125" style="1" customWidth="1"/>
    <col min="5" max="16384" width="11.5703125" style="1"/>
  </cols>
  <sheetData>
    <row r="1" spans="1:4" x14ac:dyDescent="0.25">
      <c r="A1" s="186" t="s">
        <v>4</v>
      </c>
      <c r="B1" s="187"/>
      <c r="C1" s="187"/>
      <c r="D1" s="188"/>
    </row>
    <row r="2" spans="1:4" x14ac:dyDescent="0.25">
      <c r="A2" s="3" t="s">
        <v>0</v>
      </c>
      <c r="B2" s="3" t="s">
        <v>1</v>
      </c>
      <c r="C2" s="3" t="s">
        <v>2</v>
      </c>
      <c r="D2" s="3" t="s">
        <v>3</v>
      </c>
    </row>
    <row r="3" spans="1:4" x14ac:dyDescent="0.25">
      <c r="A3" s="65">
        <v>1</v>
      </c>
      <c r="B3" s="2">
        <v>12000</v>
      </c>
      <c r="C3" s="2">
        <v>80000</v>
      </c>
      <c r="D3" s="2">
        <f>+B3*C3</f>
        <v>960000000</v>
      </c>
    </row>
    <row r="4" spans="1:4" x14ac:dyDescent="0.25">
      <c r="A4" s="65">
        <v>2</v>
      </c>
      <c r="B4" s="2">
        <v>15000</v>
      </c>
      <c r="C4" s="2">
        <v>85000</v>
      </c>
      <c r="D4" s="2">
        <f t="shared" ref="D4:D7" si="0">+B4*C4</f>
        <v>1275000000</v>
      </c>
    </row>
    <row r="5" spans="1:4" x14ac:dyDescent="0.25">
      <c r="A5" s="65">
        <v>3</v>
      </c>
      <c r="B5" s="2">
        <v>13000</v>
      </c>
      <c r="C5" s="2">
        <v>90000</v>
      </c>
      <c r="D5" s="2">
        <f t="shared" si="0"/>
        <v>1170000000</v>
      </c>
    </row>
    <row r="6" spans="1:4" x14ac:dyDescent="0.25">
      <c r="A6" s="65">
        <v>4</v>
      </c>
      <c r="B6" s="2">
        <v>15000</v>
      </c>
      <c r="C6" s="2">
        <v>95000</v>
      </c>
      <c r="D6" s="2">
        <f t="shared" si="0"/>
        <v>1425000000</v>
      </c>
    </row>
    <row r="7" spans="1:4" x14ac:dyDescent="0.25">
      <c r="A7" s="65">
        <v>5</v>
      </c>
      <c r="B7" s="2">
        <v>18000</v>
      </c>
      <c r="C7" s="2">
        <v>100000</v>
      </c>
      <c r="D7" s="2">
        <f t="shared" si="0"/>
        <v>1800000000</v>
      </c>
    </row>
  </sheetData>
  <mergeCells count="1">
    <mergeCell ref="A1:D1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0.39997558519241921"/>
  </sheetPr>
  <dimension ref="A1:C10"/>
  <sheetViews>
    <sheetView zoomScale="180" zoomScaleNormal="180" workbookViewId="0">
      <selection activeCell="D13" sqref="D13"/>
    </sheetView>
  </sheetViews>
  <sheetFormatPr baseColWidth="10" defaultRowHeight="15" x14ac:dyDescent="0.25"/>
  <cols>
    <col min="1" max="1" width="5.5703125" customWidth="1"/>
    <col min="2" max="2" width="16.5703125" customWidth="1"/>
    <col min="3" max="3" width="10.42578125" bestFit="1" customWidth="1"/>
  </cols>
  <sheetData>
    <row r="1" spans="1:3" x14ac:dyDescent="0.25">
      <c r="A1" s="189" t="s">
        <v>8</v>
      </c>
      <c r="B1" s="189"/>
      <c r="C1" s="189"/>
    </row>
    <row r="2" spans="1:3" x14ac:dyDescent="0.25">
      <c r="A2" s="37" t="str">
        <f>+'Datos Generales'!A2</f>
        <v>AÑO</v>
      </c>
      <c r="B2" s="37" t="str">
        <f>+'Datos Generales'!B2</f>
        <v>UNIDADES</v>
      </c>
      <c r="C2" s="37"/>
    </row>
    <row r="3" spans="1:3" x14ac:dyDescent="0.25">
      <c r="A3" s="21">
        <f>+'Datos Generales'!A3</f>
        <v>1</v>
      </c>
      <c r="B3" s="23">
        <f>+'Datos Generales'!B3</f>
        <v>12000</v>
      </c>
      <c r="C3" s="21">
        <v>0</v>
      </c>
    </row>
    <row r="4" spans="1:3" x14ac:dyDescent="0.25">
      <c r="A4" s="21">
        <f>+'Datos Generales'!A4</f>
        <v>2</v>
      </c>
      <c r="B4" s="23">
        <f>+'Datos Generales'!B4</f>
        <v>15000</v>
      </c>
      <c r="C4" s="38">
        <f>+(B4-B3)/B3</f>
        <v>0.25</v>
      </c>
    </row>
    <row r="5" spans="1:3" x14ac:dyDescent="0.25">
      <c r="A5" s="21">
        <f>+'Datos Generales'!A5</f>
        <v>3</v>
      </c>
      <c r="B5" s="23">
        <f>+'Datos Generales'!B5</f>
        <v>13000</v>
      </c>
      <c r="C5" s="38">
        <f t="shared" ref="C5:C6" si="0">+(B5-B4)/B4</f>
        <v>-0.13333333333333333</v>
      </c>
    </row>
    <row r="6" spans="1:3" x14ac:dyDescent="0.25">
      <c r="A6" s="21">
        <f>+'Datos Generales'!A6</f>
        <v>4</v>
      </c>
      <c r="B6" s="23">
        <f>+'Datos Generales'!B6</f>
        <v>15000</v>
      </c>
      <c r="C6" s="38">
        <f t="shared" si="0"/>
        <v>0.15384615384615385</v>
      </c>
    </row>
    <row r="7" spans="1:3" x14ac:dyDescent="0.25">
      <c r="A7" s="21">
        <f>+'Datos Generales'!A7</f>
        <v>5</v>
      </c>
      <c r="B7" s="23">
        <f>+'Datos Generales'!B7</f>
        <v>18000</v>
      </c>
      <c r="C7" s="38">
        <f>+(B7-B6)/B6</f>
        <v>0.2</v>
      </c>
    </row>
    <row r="8" spans="1:3" x14ac:dyDescent="0.25">
      <c r="A8" s="39" t="s">
        <v>5</v>
      </c>
      <c r="B8" s="40"/>
      <c r="C8" s="41">
        <f>SUM(C3:C7)</f>
        <v>0.47051282051282056</v>
      </c>
    </row>
    <row r="9" spans="1:3" x14ac:dyDescent="0.25">
      <c r="A9" s="21" t="s">
        <v>6</v>
      </c>
      <c r="B9" s="21"/>
      <c r="C9" s="38">
        <f>+C8/(A7-1)</f>
        <v>0.11762820512820514</v>
      </c>
    </row>
    <row r="10" spans="1:3" x14ac:dyDescent="0.25">
      <c r="A10" s="42" t="s">
        <v>7</v>
      </c>
      <c r="B10" s="42"/>
      <c r="C10" s="43">
        <f>+B7*(1+C9)</f>
        <v>20117.307692307691</v>
      </c>
    </row>
  </sheetData>
  <mergeCells count="1">
    <mergeCell ref="A1:C1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2060"/>
  </sheetPr>
  <dimension ref="A1:C10"/>
  <sheetViews>
    <sheetView zoomScale="160" zoomScaleNormal="160" workbookViewId="0">
      <selection activeCell="F8" sqref="F8"/>
    </sheetView>
  </sheetViews>
  <sheetFormatPr baseColWidth="10" defaultRowHeight="15" x14ac:dyDescent="0.25"/>
  <cols>
    <col min="3" max="3" width="12" customWidth="1"/>
  </cols>
  <sheetData>
    <row r="1" spans="1:3" x14ac:dyDescent="0.25">
      <c r="A1" s="190" t="s">
        <v>11</v>
      </c>
      <c r="B1" s="190"/>
      <c r="C1" s="190"/>
    </row>
    <row r="2" spans="1:3" x14ac:dyDescent="0.25">
      <c r="A2" s="32" t="str">
        <f>+'Datos Generales'!A2</f>
        <v>AÑO</v>
      </c>
      <c r="B2" s="32" t="str">
        <f>+'Datos Generales'!B2</f>
        <v>UNIDADES</v>
      </c>
      <c r="C2" s="21"/>
    </row>
    <row r="3" spans="1:3" x14ac:dyDescent="0.25">
      <c r="A3" s="32">
        <f>+'Datos Generales'!A3</f>
        <v>1</v>
      </c>
      <c r="B3" s="24">
        <f>+'Datos Generales'!B3</f>
        <v>12000</v>
      </c>
      <c r="C3" s="21">
        <v>0</v>
      </c>
    </row>
    <row r="4" spans="1:3" x14ac:dyDescent="0.25">
      <c r="A4" s="32">
        <f>+'Datos Generales'!A4</f>
        <v>2</v>
      </c>
      <c r="B4" s="24">
        <f>+'Datos Generales'!B4</f>
        <v>15000</v>
      </c>
      <c r="C4" s="33">
        <f>+B4-B3</f>
        <v>3000</v>
      </c>
    </row>
    <row r="5" spans="1:3" x14ac:dyDescent="0.25">
      <c r="A5" s="32">
        <f>+'Datos Generales'!A5</f>
        <v>3</v>
      </c>
      <c r="B5" s="24">
        <f>+'Datos Generales'!B5</f>
        <v>13000</v>
      </c>
      <c r="C5" s="33">
        <f t="shared" ref="C5:C7" si="0">+B5-B4</f>
        <v>-2000</v>
      </c>
    </row>
    <row r="6" spans="1:3" x14ac:dyDescent="0.25">
      <c r="A6" s="32">
        <f>+'Datos Generales'!A6</f>
        <v>4</v>
      </c>
      <c r="B6" s="24">
        <f>+'Datos Generales'!B6</f>
        <v>15000</v>
      </c>
      <c r="C6" s="33">
        <f t="shared" si="0"/>
        <v>2000</v>
      </c>
    </row>
    <row r="7" spans="1:3" x14ac:dyDescent="0.25">
      <c r="A7" s="32">
        <f>+'Datos Generales'!A7</f>
        <v>5</v>
      </c>
      <c r="B7" s="24">
        <f>+'Datos Generales'!B7</f>
        <v>18000</v>
      </c>
      <c r="C7" s="33">
        <f t="shared" si="0"/>
        <v>3000</v>
      </c>
    </row>
    <row r="8" spans="1:3" x14ac:dyDescent="0.25">
      <c r="A8" s="21" t="s">
        <v>9</v>
      </c>
      <c r="B8" s="21"/>
      <c r="C8" s="34">
        <f>SUM(C3:C7)</f>
        <v>6000</v>
      </c>
    </row>
    <row r="9" spans="1:3" x14ac:dyDescent="0.25">
      <c r="A9" s="21" t="s">
        <v>10</v>
      </c>
      <c r="B9" s="21"/>
      <c r="C9" s="33">
        <f>+C8/(A7-1)</f>
        <v>1500</v>
      </c>
    </row>
    <row r="10" spans="1:3" ht="15.75" x14ac:dyDescent="0.25">
      <c r="A10" s="35" t="s">
        <v>7</v>
      </c>
      <c r="B10" s="35"/>
      <c r="C10" s="36">
        <f>+B7+C9</f>
        <v>19500</v>
      </c>
    </row>
  </sheetData>
  <mergeCells count="1">
    <mergeCell ref="A1:C1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7" tint="-0.499984740745262"/>
  </sheetPr>
  <dimension ref="A1:J14"/>
  <sheetViews>
    <sheetView topLeftCell="A7" zoomScale="130" zoomScaleNormal="130" workbookViewId="0">
      <selection activeCell="G11" sqref="G11"/>
    </sheetView>
  </sheetViews>
  <sheetFormatPr baseColWidth="10" defaultRowHeight="15" x14ac:dyDescent="0.25"/>
  <sheetData>
    <row r="1" spans="1:10" x14ac:dyDescent="0.25">
      <c r="A1" s="11" t="s">
        <v>12</v>
      </c>
      <c r="B1" s="11"/>
      <c r="C1" s="11"/>
    </row>
    <row r="2" spans="1:10" x14ac:dyDescent="0.25">
      <c r="A2" s="14" t="str">
        <f>+'Datos Generales'!A2</f>
        <v>AÑO</v>
      </c>
      <c r="B2" s="14" t="str">
        <f>+'Datos Generales'!B2</f>
        <v>UNIDADES</v>
      </c>
      <c r="C2" s="15"/>
      <c r="D2" s="13"/>
    </row>
    <row r="3" spans="1:10" x14ac:dyDescent="0.25">
      <c r="A3" s="6" t="s">
        <v>17</v>
      </c>
      <c r="B3" s="6" t="s">
        <v>18</v>
      </c>
      <c r="C3" s="6" t="s">
        <v>13</v>
      </c>
      <c r="D3" s="6" t="s">
        <v>14</v>
      </c>
    </row>
    <row r="4" spans="1:10" x14ac:dyDescent="0.25">
      <c r="A4" s="7">
        <f>+'Datos Generales'!A3</f>
        <v>1</v>
      </c>
      <c r="B4" s="8">
        <f>+'Datos Generales'!B3</f>
        <v>12000</v>
      </c>
      <c r="C4" s="10">
        <f>+A4*B4</f>
        <v>12000</v>
      </c>
      <c r="D4" s="9">
        <f>+A4^2</f>
        <v>1</v>
      </c>
    </row>
    <row r="5" spans="1:10" x14ac:dyDescent="0.25">
      <c r="A5" s="7">
        <f>+'Datos Generales'!A4</f>
        <v>2</v>
      </c>
      <c r="B5" s="8">
        <f>+'Datos Generales'!B4</f>
        <v>15000</v>
      </c>
      <c r="C5" s="10">
        <f t="shared" ref="C5:C8" si="0">+A5*B5</f>
        <v>30000</v>
      </c>
      <c r="D5" s="9">
        <f t="shared" ref="D5:D8" si="1">+A5^2</f>
        <v>4</v>
      </c>
      <c r="H5" s="5"/>
      <c r="I5" s="5"/>
      <c r="J5" s="5"/>
    </row>
    <row r="6" spans="1:10" x14ac:dyDescent="0.25">
      <c r="A6" s="7">
        <f>+'Datos Generales'!A5</f>
        <v>3</v>
      </c>
      <c r="B6" s="8">
        <f>+'Datos Generales'!B5</f>
        <v>13000</v>
      </c>
      <c r="C6" s="10">
        <f t="shared" si="0"/>
        <v>39000</v>
      </c>
      <c r="D6" s="9">
        <f t="shared" si="1"/>
        <v>9</v>
      </c>
      <c r="H6" s="5"/>
    </row>
    <row r="7" spans="1:10" x14ac:dyDescent="0.25">
      <c r="A7" s="7">
        <f>+'Datos Generales'!A6</f>
        <v>4</v>
      </c>
      <c r="B7" s="8">
        <f>+'Datos Generales'!B6</f>
        <v>15000</v>
      </c>
      <c r="C7" s="10">
        <f t="shared" si="0"/>
        <v>60000</v>
      </c>
      <c r="D7" s="9">
        <f t="shared" si="1"/>
        <v>16</v>
      </c>
    </row>
    <row r="8" spans="1:10" x14ac:dyDescent="0.25">
      <c r="A8" s="7">
        <f>+'Datos Generales'!A7</f>
        <v>5</v>
      </c>
      <c r="B8" s="8">
        <f>+'Datos Generales'!B7</f>
        <v>18000</v>
      </c>
      <c r="C8" s="10">
        <f t="shared" si="0"/>
        <v>90000</v>
      </c>
      <c r="D8" s="9">
        <f t="shared" si="1"/>
        <v>25</v>
      </c>
      <c r="H8" s="5"/>
      <c r="I8" s="5"/>
      <c r="J8" s="5"/>
    </row>
    <row r="9" spans="1:10" x14ac:dyDescent="0.25">
      <c r="A9" s="16">
        <f>SUM(A4:A8)</f>
        <v>15</v>
      </c>
      <c r="B9" s="16">
        <f t="shared" ref="B9:D9" si="2">SUM(B4:B8)</f>
        <v>73000</v>
      </c>
      <c r="C9" s="16">
        <f t="shared" si="2"/>
        <v>231000</v>
      </c>
      <c r="D9" s="16">
        <f t="shared" si="2"/>
        <v>55</v>
      </c>
    </row>
    <row r="10" spans="1:10" ht="21" x14ac:dyDescent="0.35">
      <c r="A10" s="12" t="s">
        <v>16</v>
      </c>
      <c r="B10" s="6">
        <v>5</v>
      </c>
      <c r="H10" s="4"/>
    </row>
    <row r="11" spans="1:10" x14ac:dyDescent="0.25">
      <c r="D11" s="191" t="s">
        <v>31</v>
      </c>
      <c r="E11" s="191"/>
      <c r="F11" s="191"/>
    </row>
    <row r="12" spans="1:10" ht="21" x14ac:dyDescent="0.35">
      <c r="A12" s="17" t="s">
        <v>15</v>
      </c>
      <c r="B12" s="18">
        <f>+((B10*C9)-(A9*B9))/((B10*D9)-(A9^2))</f>
        <v>1200</v>
      </c>
      <c r="E12" s="20">
        <f>+B14</f>
        <v>18200</v>
      </c>
    </row>
    <row r="13" spans="1:10" ht="21" x14ac:dyDescent="0.35">
      <c r="A13" s="17" t="s">
        <v>19</v>
      </c>
      <c r="B13" s="18">
        <f>(B9-(B12*A9))/B10</f>
        <v>11000</v>
      </c>
    </row>
    <row r="14" spans="1:10" ht="21" x14ac:dyDescent="0.35">
      <c r="A14" s="17" t="s">
        <v>20</v>
      </c>
      <c r="B14" s="18">
        <f>+B13+B12*(6)</f>
        <v>18200</v>
      </c>
    </row>
  </sheetData>
  <mergeCells count="1">
    <mergeCell ref="D11:F11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1:F17"/>
  <sheetViews>
    <sheetView topLeftCell="A10" zoomScale="130" zoomScaleNormal="130" workbookViewId="0">
      <selection activeCell="I10" sqref="I10"/>
    </sheetView>
  </sheetViews>
  <sheetFormatPr baseColWidth="10" defaultRowHeight="15" x14ac:dyDescent="0.25"/>
  <cols>
    <col min="1" max="1" width="14.5703125" customWidth="1"/>
    <col min="2" max="2" width="18.42578125" customWidth="1"/>
    <col min="4" max="4" width="13.140625" customWidth="1"/>
    <col min="5" max="5" width="18.42578125" customWidth="1"/>
  </cols>
  <sheetData>
    <row r="1" spans="1:6" ht="23.25" customHeight="1" x14ac:dyDescent="0.25">
      <c r="A1" s="194" t="s">
        <v>21</v>
      </c>
      <c r="B1" s="194"/>
      <c r="C1" s="194"/>
      <c r="D1" s="194"/>
      <c r="E1" s="194"/>
      <c r="F1" s="194"/>
    </row>
    <row r="2" spans="1:6" ht="15.75" x14ac:dyDescent="0.25">
      <c r="A2" s="56" t="str">
        <f>+'Datos Generales'!A2</f>
        <v>AÑO</v>
      </c>
      <c r="B2" s="56" t="str">
        <f>+'Datos Generales'!B2</f>
        <v>UNIDADES</v>
      </c>
      <c r="D2" s="60" t="s">
        <v>79</v>
      </c>
      <c r="E2" s="53" t="s">
        <v>17</v>
      </c>
      <c r="F2" s="53" t="s">
        <v>18</v>
      </c>
    </row>
    <row r="3" spans="1:6" ht="15.75" x14ac:dyDescent="0.25">
      <c r="A3" s="48" t="s">
        <v>17</v>
      </c>
      <c r="B3" s="48" t="s">
        <v>18</v>
      </c>
      <c r="D3" s="49" t="s">
        <v>22</v>
      </c>
      <c r="E3" s="54">
        <f>+A8</f>
        <v>5</v>
      </c>
      <c r="F3" s="55">
        <f>+B8</f>
        <v>18000</v>
      </c>
    </row>
    <row r="4" spans="1:6" ht="15.75" x14ac:dyDescent="0.25">
      <c r="A4" s="57">
        <f>+'Datos Generales'!A3</f>
        <v>1</v>
      </c>
      <c r="B4" s="58">
        <f>+'Datos Generales'!B3</f>
        <v>12000</v>
      </c>
      <c r="D4" s="49" t="s">
        <v>23</v>
      </c>
      <c r="E4" s="54">
        <f>+A4</f>
        <v>1</v>
      </c>
      <c r="F4" s="55">
        <f>+B4</f>
        <v>12000</v>
      </c>
    </row>
    <row r="5" spans="1:6" ht="15.75" x14ac:dyDescent="0.25">
      <c r="A5" s="57">
        <f>+'Datos Generales'!A4</f>
        <v>2</v>
      </c>
      <c r="B5" s="58">
        <f>+'Datos Generales'!B4</f>
        <v>15000</v>
      </c>
      <c r="D5" s="49" t="s">
        <v>24</v>
      </c>
      <c r="E5" s="54">
        <f>+E3-E4</f>
        <v>4</v>
      </c>
      <c r="F5" s="29">
        <f>+F3-F4</f>
        <v>6000</v>
      </c>
    </row>
    <row r="6" spans="1:6" ht="15.75" x14ac:dyDescent="0.25">
      <c r="A6" s="57">
        <f>+'Datos Generales'!A5</f>
        <v>3</v>
      </c>
      <c r="B6" s="58">
        <f>+'Datos Generales'!B5</f>
        <v>13000</v>
      </c>
      <c r="D6" s="195" t="s">
        <v>15</v>
      </c>
      <c r="E6" s="195"/>
      <c r="F6" s="25">
        <f>+F5/E5</f>
        <v>1500</v>
      </c>
    </row>
    <row r="7" spans="1:6" ht="15.75" x14ac:dyDescent="0.25">
      <c r="A7" s="57">
        <f>+'Datos Generales'!A6</f>
        <v>4</v>
      </c>
      <c r="B7" s="58">
        <f>+'Datos Generales'!B6</f>
        <v>15000</v>
      </c>
      <c r="D7" s="196" t="s">
        <v>25</v>
      </c>
      <c r="E7" s="196"/>
      <c r="F7" s="196"/>
    </row>
    <row r="8" spans="1:6" ht="15.75" x14ac:dyDescent="0.25">
      <c r="A8" s="57">
        <f>+'Datos Generales'!A7</f>
        <v>5</v>
      </c>
      <c r="B8" s="58">
        <f>+'Datos Generales'!B7</f>
        <v>18000</v>
      </c>
      <c r="D8" s="192" t="s">
        <v>26</v>
      </c>
      <c r="E8" s="192"/>
      <c r="F8" s="192"/>
    </row>
    <row r="9" spans="1:6" ht="18.75" x14ac:dyDescent="0.3">
      <c r="A9" s="59">
        <f>SUM(A4:A8)</f>
        <v>15</v>
      </c>
      <c r="B9" s="59">
        <f t="shared" ref="B9" si="0">SUM(B4:B8)</f>
        <v>73000</v>
      </c>
      <c r="D9" s="26">
        <v>18000</v>
      </c>
      <c r="E9" s="21" t="s">
        <v>28</v>
      </c>
      <c r="F9" s="29">
        <f>+F6*E3</f>
        <v>7500</v>
      </c>
    </row>
    <row r="10" spans="1:6" ht="15.75" x14ac:dyDescent="0.25">
      <c r="D10" s="21" t="s">
        <v>32</v>
      </c>
      <c r="E10" s="27" t="s">
        <v>33</v>
      </c>
      <c r="F10" s="28">
        <f>+D9-F9</f>
        <v>10500</v>
      </c>
    </row>
    <row r="11" spans="1:6" ht="18.75" x14ac:dyDescent="0.3">
      <c r="A11" s="192" t="s">
        <v>30</v>
      </c>
      <c r="B11" s="192"/>
      <c r="D11" s="62" t="s">
        <v>20</v>
      </c>
      <c r="E11" s="63" t="s">
        <v>34</v>
      </c>
      <c r="F11" s="64">
        <f>+F10+(F6*(A8+1))</f>
        <v>19500</v>
      </c>
    </row>
    <row r="12" spans="1:6" x14ac:dyDescent="0.25">
      <c r="A12" s="193">
        <f>+F17</f>
        <v>19500</v>
      </c>
      <c r="B12" s="193"/>
    </row>
    <row r="13" spans="1:6" x14ac:dyDescent="0.25">
      <c r="D13" s="196" t="s">
        <v>25</v>
      </c>
      <c r="E13" s="196"/>
      <c r="F13" s="196"/>
    </row>
    <row r="14" spans="1:6" x14ac:dyDescent="0.25">
      <c r="D14" s="192" t="s">
        <v>26</v>
      </c>
      <c r="E14" s="192"/>
      <c r="F14" s="192"/>
    </row>
    <row r="15" spans="1:6" ht="15.75" x14ac:dyDescent="0.25">
      <c r="D15" s="61">
        <f>+F4</f>
        <v>12000</v>
      </c>
      <c r="E15" s="21" t="s">
        <v>29</v>
      </c>
      <c r="F15" s="23">
        <f>+F6*E4</f>
        <v>1500</v>
      </c>
    </row>
    <row r="16" spans="1:6" ht="15.75" x14ac:dyDescent="0.25">
      <c r="D16" s="21" t="s">
        <v>32</v>
      </c>
      <c r="E16" s="27" t="s">
        <v>80</v>
      </c>
      <c r="F16" s="19">
        <f>+D15-F15</f>
        <v>10500</v>
      </c>
    </row>
    <row r="17" spans="4:6" ht="18.75" x14ac:dyDescent="0.3">
      <c r="D17" s="62" t="s">
        <v>20</v>
      </c>
      <c r="E17" s="63" t="s">
        <v>27</v>
      </c>
      <c r="F17" s="64">
        <f>F16+(F6*(A8+1))</f>
        <v>19500</v>
      </c>
    </row>
  </sheetData>
  <mergeCells count="8">
    <mergeCell ref="D14:F14"/>
    <mergeCell ref="A11:B11"/>
    <mergeCell ref="A12:B12"/>
    <mergeCell ref="A1:F1"/>
    <mergeCell ref="D6:E6"/>
    <mergeCell ref="D7:F7"/>
    <mergeCell ref="D8:F8"/>
    <mergeCell ref="D13:F13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6"/>
  <sheetViews>
    <sheetView showGridLines="0" workbookViewId="0">
      <selection activeCell="E9" sqref="E9"/>
    </sheetView>
  </sheetViews>
  <sheetFormatPr baseColWidth="10" defaultRowHeight="15" x14ac:dyDescent="0.25"/>
  <cols>
    <col min="1" max="1" width="25.5703125" bestFit="1" customWidth="1"/>
    <col min="3" max="3" width="18" bestFit="1" customWidth="1"/>
  </cols>
  <sheetData>
    <row r="1" spans="1:3" ht="39" customHeight="1" x14ac:dyDescent="0.3">
      <c r="A1" s="197" t="s">
        <v>35</v>
      </c>
      <c r="B1" s="197"/>
    </row>
    <row r="2" spans="1:3" ht="15.75" x14ac:dyDescent="0.25">
      <c r="A2" s="198" t="s">
        <v>40</v>
      </c>
      <c r="B2" s="198"/>
    </row>
    <row r="3" spans="1:3" ht="18.75" x14ac:dyDescent="0.3">
      <c r="A3" s="30" t="s">
        <v>36</v>
      </c>
      <c r="B3" s="31">
        <f>+'Incr. %'!C10</f>
        <v>20117.307692307691</v>
      </c>
    </row>
    <row r="4" spans="1:3" ht="18.75" x14ac:dyDescent="0.3">
      <c r="A4" s="30" t="s">
        <v>37</v>
      </c>
      <c r="B4" s="31">
        <f>+'Incr. Absoluto'!C10</f>
        <v>19500</v>
      </c>
    </row>
    <row r="5" spans="1:3" ht="18.75" x14ac:dyDescent="0.3">
      <c r="A5" s="124" t="s">
        <v>38</v>
      </c>
      <c r="B5" s="125">
        <f>+'Min. Cuadrados'!B14</f>
        <v>18200</v>
      </c>
      <c r="C5" t="s">
        <v>225</v>
      </c>
    </row>
    <row r="6" spans="1:3" ht="18.75" x14ac:dyDescent="0.3">
      <c r="A6" s="30" t="s">
        <v>39</v>
      </c>
      <c r="B6" s="31">
        <f>+'PA-PB'!A12</f>
        <v>19500</v>
      </c>
    </row>
  </sheetData>
  <mergeCells count="2">
    <mergeCell ref="A1:B1"/>
    <mergeCell ref="A2:B2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17"/>
  <sheetViews>
    <sheetView topLeftCell="A6" workbookViewId="0">
      <selection activeCell="M16" sqref="M16"/>
    </sheetView>
  </sheetViews>
  <sheetFormatPr baseColWidth="10" defaultColWidth="9.140625" defaultRowHeight="15" x14ac:dyDescent="0.25"/>
  <cols>
    <col min="1" max="1" width="25.85546875" customWidth="1"/>
    <col min="2" max="2" width="16" customWidth="1"/>
    <col min="3" max="3" width="20" customWidth="1"/>
    <col min="4" max="4" width="22" customWidth="1"/>
    <col min="9" max="9" width="11.42578125" customWidth="1"/>
    <col min="10" max="10" width="10" bestFit="1" customWidth="1"/>
  </cols>
  <sheetData>
    <row r="1" spans="1:9" ht="21.75" thickBot="1" x14ac:dyDescent="0.4">
      <c r="A1" s="201" t="s">
        <v>106</v>
      </c>
      <c r="B1" s="202"/>
      <c r="C1" s="202"/>
      <c r="D1" s="202"/>
      <c r="E1" s="202"/>
      <c r="F1" s="202"/>
      <c r="G1" s="202"/>
      <c r="H1" s="202"/>
      <c r="I1" s="203"/>
    </row>
    <row r="2" spans="1:9" x14ac:dyDescent="0.25">
      <c r="A2" s="204"/>
      <c r="B2" s="205"/>
      <c r="C2" s="205"/>
      <c r="D2" s="205"/>
      <c r="E2" s="205"/>
      <c r="F2" s="205"/>
      <c r="G2" s="205"/>
      <c r="H2" s="205"/>
      <c r="I2" s="206"/>
    </row>
    <row r="3" spans="1:9" ht="15.75" x14ac:dyDescent="0.25">
      <c r="A3" s="88" t="s">
        <v>107</v>
      </c>
      <c r="B3" s="199" t="s">
        <v>108</v>
      </c>
      <c r="C3" s="199"/>
      <c r="D3" s="199"/>
      <c r="E3" s="199"/>
      <c r="F3" s="199"/>
      <c r="G3" s="199"/>
      <c r="H3" s="199"/>
      <c r="I3" s="200"/>
    </row>
    <row r="4" spans="1:9" ht="15.75" x14ac:dyDescent="0.25">
      <c r="A4" s="88" t="s">
        <v>109</v>
      </c>
      <c r="B4" s="199" t="s">
        <v>110</v>
      </c>
      <c r="C4" s="199"/>
      <c r="D4" s="199"/>
      <c r="E4" s="199"/>
      <c r="F4" s="199"/>
      <c r="G4" s="199"/>
      <c r="H4" s="199"/>
      <c r="I4" s="200"/>
    </row>
    <row r="5" spans="1:9" ht="15.75" x14ac:dyDescent="0.25">
      <c r="A5" s="88" t="s">
        <v>111</v>
      </c>
      <c r="B5" s="199" t="s">
        <v>112</v>
      </c>
      <c r="C5" s="199"/>
      <c r="D5" s="199"/>
      <c r="E5" s="199"/>
      <c r="F5" s="199"/>
      <c r="G5" s="199"/>
      <c r="H5" s="199"/>
      <c r="I5" s="200"/>
    </row>
    <row r="6" spans="1:9" ht="15.75" x14ac:dyDescent="0.25">
      <c r="A6" s="88" t="s">
        <v>113</v>
      </c>
      <c r="B6" s="199" t="s">
        <v>114</v>
      </c>
      <c r="C6" s="199"/>
      <c r="D6" s="199"/>
      <c r="E6" s="199"/>
      <c r="F6" s="199"/>
      <c r="G6" s="199"/>
      <c r="H6" s="199"/>
      <c r="I6" s="200"/>
    </row>
    <row r="7" spans="1:9" ht="15.75" x14ac:dyDescent="0.25">
      <c r="A7" s="88" t="s">
        <v>115</v>
      </c>
      <c r="B7" s="199" t="s">
        <v>116</v>
      </c>
      <c r="C7" s="199"/>
      <c r="D7" s="199"/>
      <c r="E7" s="199"/>
      <c r="F7" s="199"/>
      <c r="G7" s="199"/>
      <c r="H7" s="199"/>
      <c r="I7" s="200"/>
    </row>
    <row r="8" spans="1:9" ht="15.75" x14ac:dyDescent="0.25">
      <c r="A8" s="88" t="s">
        <v>117</v>
      </c>
      <c r="B8" s="199" t="s">
        <v>118</v>
      </c>
      <c r="C8" s="199"/>
      <c r="D8" s="199"/>
      <c r="E8" s="199"/>
      <c r="F8" s="199"/>
      <c r="G8" s="199"/>
      <c r="H8" s="199"/>
      <c r="I8" s="200"/>
    </row>
    <row r="9" spans="1:9" ht="15.75" x14ac:dyDescent="0.25">
      <c r="A9" s="88" t="s">
        <v>119</v>
      </c>
      <c r="B9" s="199" t="s">
        <v>120</v>
      </c>
      <c r="C9" s="199"/>
      <c r="D9" s="199"/>
      <c r="E9" s="199"/>
      <c r="F9" s="199"/>
      <c r="G9" s="199"/>
      <c r="H9" s="199"/>
      <c r="I9" s="200"/>
    </row>
    <row r="10" spans="1:9" ht="15.75" x14ac:dyDescent="0.25">
      <c r="A10" s="88" t="s">
        <v>121</v>
      </c>
      <c r="B10" s="199" t="s">
        <v>122</v>
      </c>
      <c r="C10" s="199"/>
      <c r="D10" s="199"/>
      <c r="E10" s="199"/>
      <c r="F10" s="199"/>
      <c r="G10" s="199"/>
      <c r="H10" s="199"/>
      <c r="I10" s="200"/>
    </row>
    <row r="11" spans="1:9" x14ac:dyDescent="0.25">
      <c r="A11" s="71"/>
      <c r="B11" s="223"/>
      <c r="C11" s="223"/>
      <c r="D11" s="223"/>
      <c r="E11" s="223"/>
      <c r="F11" s="223"/>
      <c r="G11" s="223"/>
      <c r="H11" s="223"/>
      <c r="I11" s="227"/>
    </row>
    <row r="12" spans="1:9" ht="15.75" x14ac:dyDescent="0.25">
      <c r="A12" s="207" t="s">
        <v>123</v>
      </c>
      <c r="B12" s="209" t="s">
        <v>124</v>
      </c>
      <c r="C12" s="209"/>
      <c r="D12" s="209"/>
      <c r="E12" s="209"/>
      <c r="F12" s="209"/>
      <c r="G12" s="209"/>
      <c r="H12" s="209"/>
      <c r="I12" s="210"/>
    </row>
    <row r="13" spans="1:9" x14ac:dyDescent="0.25">
      <c r="A13" s="207"/>
      <c r="B13" s="211" t="s">
        <v>125</v>
      </c>
      <c r="C13" s="211"/>
      <c r="D13" s="72" t="s">
        <v>126</v>
      </c>
      <c r="E13" s="212" t="s">
        <v>127</v>
      </c>
      <c r="F13" s="213"/>
      <c r="G13" s="214"/>
      <c r="H13" s="73" t="s">
        <v>128</v>
      </c>
      <c r="I13" s="74"/>
    </row>
    <row r="14" spans="1:9" x14ac:dyDescent="0.25">
      <c r="A14" s="207"/>
      <c r="B14" s="215" t="str">
        <f>[1]Presupuesto!A2</f>
        <v>Tela principal Leggins</v>
      </c>
      <c r="C14" s="215"/>
      <c r="D14" s="75" t="str">
        <f>[1]Presupuesto!B2</f>
        <v>metro</v>
      </c>
      <c r="E14" s="222">
        <v>1</v>
      </c>
      <c r="F14" s="223"/>
      <c r="G14" s="224"/>
      <c r="H14" s="225">
        <f>[1]Presupuesto!E2</f>
        <v>15000</v>
      </c>
      <c r="I14" s="226"/>
    </row>
    <row r="15" spans="1:9" x14ac:dyDescent="0.25">
      <c r="A15" s="207"/>
      <c r="B15" s="215" t="str">
        <f>[1]Presupuesto!A3</f>
        <v>Tela principal Top</v>
      </c>
      <c r="C15" s="215"/>
      <c r="D15" s="75" t="str">
        <f>[1]Presupuesto!B3</f>
        <v>metro</v>
      </c>
      <c r="E15" s="222">
        <v>0.5</v>
      </c>
      <c r="F15" s="223"/>
      <c r="G15" s="224"/>
      <c r="H15" s="225">
        <f>[1]Presupuesto!E3</f>
        <v>22000</v>
      </c>
      <c r="I15" s="226"/>
    </row>
    <row r="16" spans="1:9" x14ac:dyDescent="0.25">
      <c r="A16" s="207"/>
      <c r="B16" s="215" t="str">
        <f>[1]Presupuesto!A4</f>
        <v>Cinta adhesiva termofusible</v>
      </c>
      <c r="C16" s="215"/>
      <c r="D16" s="75" t="str">
        <f>[1]Presupuesto!B4</f>
        <v>metro</v>
      </c>
      <c r="E16" s="222">
        <f>[1]Presupuesto!C4</f>
        <v>2</v>
      </c>
      <c r="F16" s="223"/>
      <c r="G16" s="224"/>
      <c r="H16" s="225">
        <f>[1]Presupuesto!E4</f>
        <v>1500</v>
      </c>
      <c r="I16" s="226"/>
    </row>
    <row r="17" spans="1:9" ht="15.75" thickBot="1" x14ac:dyDescent="0.3">
      <c r="A17" s="208"/>
      <c r="B17" s="216" t="str">
        <f>[1]Presupuesto!A5</f>
        <v>Elástico termosellable</v>
      </c>
      <c r="C17" s="216"/>
      <c r="D17" s="76" t="str">
        <f>[1]Presupuesto!B5</f>
        <v>metro</v>
      </c>
      <c r="E17" s="217">
        <f>[1]Presupuesto!C5</f>
        <v>1</v>
      </c>
      <c r="F17" s="218"/>
      <c r="G17" s="219"/>
      <c r="H17" s="220">
        <f>[1]Presupuesto!E5</f>
        <v>1000</v>
      </c>
      <c r="I17" s="221"/>
    </row>
  </sheetData>
  <mergeCells count="27">
    <mergeCell ref="B7:I7"/>
    <mergeCell ref="B8:I8"/>
    <mergeCell ref="B9:I9"/>
    <mergeCell ref="B10:I10"/>
    <mergeCell ref="B11:I11"/>
    <mergeCell ref="A12:A17"/>
    <mergeCell ref="B12:I12"/>
    <mergeCell ref="B13:C13"/>
    <mergeCell ref="E13:G13"/>
    <mergeCell ref="B14:C14"/>
    <mergeCell ref="B17:C17"/>
    <mergeCell ref="E17:G17"/>
    <mergeCell ref="H17:I17"/>
    <mergeCell ref="E14:G14"/>
    <mergeCell ref="H14:I14"/>
    <mergeCell ref="B15:C15"/>
    <mergeCell ref="E15:G15"/>
    <mergeCell ref="H15:I15"/>
    <mergeCell ref="B16:C16"/>
    <mergeCell ref="E16:G16"/>
    <mergeCell ref="H16:I16"/>
    <mergeCell ref="B6:I6"/>
    <mergeCell ref="A1:I1"/>
    <mergeCell ref="A2:I2"/>
    <mergeCell ref="B3:I3"/>
    <mergeCell ref="B4:I4"/>
    <mergeCell ref="B5:I5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T23"/>
  <sheetViews>
    <sheetView topLeftCell="A13" zoomScaleNormal="100" workbookViewId="0">
      <selection activeCell="D5" sqref="D5:E5"/>
    </sheetView>
  </sheetViews>
  <sheetFormatPr baseColWidth="10" defaultRowHeight="15" x14ac:dyDescent="0.25"/>
  <cols>
    <col min="1" max="1" width="17.140625" customWidth="1"/>
    <col min="2" max="2" width="8.85546875" customWidth="1"/>
    <col min="3" max="3" width="9.85546875" customWidth="1"/>
    <col min="4" max="4" width="15.140625" customWidth="1"/>
    <col min="5" max="5" width="13.85546875" customWidth="1"/>
    <col min="6" max="6" width="3.140625" customWidth="1"/>
    <col min="7" max="7" width="22.5703125" bestFit="1" customWidth="1"/>
    <col min="8" max="8" width="7.140625" customWidth="1"/>
    <col min="9" max="9" width="8.5703125" bestFit="1" customWidth="1"/>
    <col min="10" max="18" width="9.42578125" bestFit="1" customWidth="1"/>
    <col min="19" max="19" width="8.5703125" bestFit="1" customWidth="1"/>
    <col min="20" max="20" width="10.85546875" bestFit="1" customWidth="1"/>
  </cols>
  <sheetData>
    <row r="1" spans="1:20" ht="21" x14ac:dyDescent="0.35">
      <c r="A1" s="234" t="s">
        <v>41</v>
      </c>
      <c r="B1" s="234"/>
      <c r="C1" s="234"/>
      <c r="D1" s="234"/>
      <c r="E1" s="234"/>
      <c r="G1" s="228" t="s">
        <v>75</v>
      </c>
      <c r="H1" s="228" t="s">
        <v>62</v>
      </c>
      <c r="I1" s="228" t="s">
        <v>63</v>
      </c>
      <c r="J1" s="228" t="s">
        <v>64</v>
      </c>
      <c r="K1" s="228" t="s">
        <v>65</v>
      </c>
      <c r="L1" s="228" t="s">
        <v>66</v>
      </c>
      <c r="M1" s="228" t="s">
        <v>67</v>
      </c>
      <c r="N1" s="228" t="s">
        <v>68</v>
      </c>
      <c r="O1" s="228" t="s">
        <v>69</v>
      </c>
      <c r="P1" s="228" t="s">
        <v>70</v>
      </c>
      <c r="Q1" s="228" t="s">
        <v>71</v>
      </c>
      <c r="R1" s="228" t="s">
        <v>72</v>
      </c>
      <c r="S1" s="228" t="s">
        <v>73</v>
      </c>
      <c r="T1" s="228" t="s">
        <v>74</v>
      </c>
    </row>
    <row r="2" spans="1:20" ht="15.75" customHeight="1" x14ac:dyDescent="0.25">
      <c r="G2" s="228"/>
      <c r="H2" s="228"/>
      <c r="I2" s="228"/>
      <c r="J2" s="228"/>
      <c r="K2" s="228"/>
      <c r="L2" s="228"/>
      <c r="M2" s="228"/>
      <c r="N2" s="228"/>
      <c r="O2" s="228"/>
      <c r="P2" s="228"/>
      <c r="Q2" s="228"/>
      <c r="R2" s="228"/>
      <c r="S2" s="228"/>
      <c r="T2" s="228"/>
    </row>
    <row r="3" spans="1:20" ht="15.75" x14ac:dyDescent="0.25">
      <c r="A3" s="235" t="s">
        <v>42</v>
      </c>
      <c r="B3" s="235"/>
      <c r="C3" s="235"/>
      <c r="D3" s="235"/>
      <c r="E3" s="235"/>
      <c r="G3" s="21" t="s">
        <v>76</v>
      </c>
      <c r="H3" s="23">
        <f>+E11</f>
        <v>910</v>
      </c>
      <c r="I3" s="23">
        <f>+E12</f>
        <v>910</v>
      </c>
      <c r="J3" s="23">
        <f>+E13</f>
        <v>1274.0000000000002</v>
      </c>
      <c r="K3" s="23">
        <f>+E14</f>
        <v>1456</v>
      </c>
      <c r="L3" s="23">
        <f>+E15</f>
        <v>1820</v>
      </c>
      <c r="M3" s="23">
        <f>+E16</f>
        <v>1820</v>
      </c>
      <c r="N3" s="23">
        <f>+E17</f>
        <v>1456</v>
      </c>
      <c r="O3" s="23">
        <f>+E18</f>
        <v>1274.0000000000002</v>
      </c>
      <c r="P3" s="23">
        <f>+E19</f>
        <v>1456</v>
      </c>
      <c r="Q3" s="23">
        <f>+E20</f>
        <v>2184</v>
      </c>
      <c r="R3" s="23">
        <f>+E21</f>
        <v>2730</v>
      </c>
      <c r="S3" s="23">
        <f>+E22</f>
        <v>910</v>
      </c>
      <c r="T3" s="33">
        <f>SUM(H3:S3)</f>
        <v>18200</v>
      </c>
    </row>
    <row r="4" spans="1:20" x14ac:dyDescent="0.25">
      <c r="A4" s="239" t="s">
        <v>43</v>
      </c>
      <c r="B4" s="240"/>
      <c r="C4" s="241"/>
      <c r="D4" s="236">
        <v>500</v>
      </c>
      <c r="E4" s="237"/>
      <c r="G4" s="21" t="s">
        <v>61</v>
      </c>
      <c r="H4" s="22">
        <f>5%*H3</f>
        <v>45.5</v>
      </c>
      <c r="I4" s="22">
        <f t="shared" ref="I4:N4" si="0">5%*I3</f>
        <v>45.5</v>
      </c>
      <c r="J4" s="22">
        <f t="shared" si="0"/>
        <v>63.700000000000017</v>
      </c>
      <c r="K4" s="22">
        <f t="shared" si="0"/>
        <v>72.8</v>
      </c>
      <c r="L4" s="22">
        <f t="shared" si="0"/>
        <v>91</v>
      </c>
      <c r="M4" s="22">
        <f t="shared" si="0"/>
        <v>91</v>
      </c>
      <c r="N4" s="22">
        <f t="shared" si="0"/>
        <v>72.8</v>
      </c>
      <c r="O4" s="22">
        <f t="shared" ref="O4" si="1">5%*O3</f>
        <v>63.700000000000017</v>
      </c>
      <c r="P4" s="22">
        <f t="shared" ref="P4" si="2">5%*P3</f>
        <v>72.8</v>
      </c>
      <c r="Q4" s="22">
        <f t="shared" ref="Q4" si="3">5%*Q3</f>
        <v>109.2</v>
      </c>
      <c r="R4" s="22">
        <f t="shared" ref="R4" si="4">5%*R3</f>
        <v>136.5</v>
      </c>
      <c r="S4" s="52">
        <v>300</v>
      </c>
      <c r="T4" s="33">
        <f>+S4</f>
        <v>300</v>
      </c>
    </row>
    <row r="5" spans="1:20" x14ac:dyDescent="0.25">
      <c r="A5" s="239" t="s">
        <v>44</v>
      </c>
      <c r="B5" s="240"/>
      <c r="C5" s="241"/>
      <c r="D5" s="238">
        <v>300</v>
      </c>
      <c r="E5" s="238"/>
      <c r="G5" s="50" t="s">
        <v>77</v>
      </c>
      <c r="H5" s="47">
        <f>SUM(H3:H4)</f>
        <v>955.5</v>
      </c>
      <c r="I5" s="47">
        <f t="shared" ref="I5:T5" si="5">SUM(I3:I4)</f>
        <v>955.5</v>
      </c>
      <c r="J5" s="47">
        <f t="shared" si="5"/>
        <v>1337.7000000000003</v>
      </c>
      <c r="K5" s="47">
        <f t="shared" si="5"/>
        <v>1528.8</v>
      </c>
      <c r="L5" s="47">
        <f t="shared" si="5"/>
        <v>1911</v>
      </c>
      <c r="M5" s="47">
        <f t="shared" si="5"/>
        <v>1911</v>
      </c>
      <c r="N5" s="47">
        <f t="shared" si="5"/>
        <v>1528.8</v>
      </c>
      <c r="O5" s="47">
        <f t="shared" si="5"/>
        <v>1337.7000000000003</v>
      </c>
      <c r="P5" s="47">
        <f t="shared" si="5"/>
        <v>1528.8</v>
      </c>
      <c r="Q5" s="47">
        <f t="shared" si="5"/>
        <v>2293.1999999999998</v>
      </c>
      <c r="R5" s="47">
        <f t="shared" si="5"/>
        <v>2866.5</v>
      </c>
      <c r="S5" s="47">
        <f t="shared" si="5"/>
        <v>1210</v>
      </c>
      <c r="T5" s="47">
        <f t="shared" si="5"/>
        <v>18500</v>
      </c>
    </row>
    <row r="6" spans="1:20" x14ac:dyDescent="0.25">
      <c r="G6" s="21" t="s">
        <v>78</v>
      </c>
      <c r="H6" s="51">
        <v>-150</v>
      </c>
      <c r="I6" s="23">
        <f t="shared" ref="I6:S6" si="6">-H4</f>
        <v>-45.5</v>
      </c>
      <c r="J6" s="23">
        <f t="shared" si="6"/>
        <v>-45.5</v>
      </c>
      <c r="K6" s="23">
        <f t="shared" si="6"/>
        <v>-63.700000000000017</v>
      </c>
      <c r="L6" s="23">
        <f t="shared" si="6"/>
        <v>-72.8</v>
      </c>
      <c r="M6" s="23">
        <f t="shared" si="6"/>
        <v>-91</v>
      </c>
      <c r="N6" s="23">
        <f t="shared" si="6"/>
        <v>-91</v>
      </c>
      <c r="O6" s="23">
        <f t="shared" si="6"/>
        <v>-72.8</v>
      </c>
      <c r="P6" s="23">
        <f t="shared" si="6"/>
        <v>-63.700000000000017</v>
      </c>
      <c r="Q6" s="23">
        <f t="shared" si="6"/>
        <v>-72.8</v>
      </c>
      <c r="R6" s="23">
        <f t="shared" si="6"/>
        <v>-109.2</v>
      </c>
      <c r="S6" s="23">
        <f t="shared" si="6"/>
        <v>-136.5</v>
      </c>
      <c r="T6" s="33">
        <f>+H6</f>
        <v>-150</v>
      </c>
    </row>
    <row r="7" spans="1:20" ht="94.5" customHeight="1" x14ac:dyDescent="0.25">
      <c r="A7" s="233" t="s">
        <v>129</v>
      </c>
      <c r="B7" s="233"/>
      <c r="C7" s="233"/>
      <c r="D7" s="233"/>
      <c r="E7" s="233"/>
      <c r="G7" s="79" t="s">
        <v>60</v>
      </c>
      <c r="H7" s="45">
        <f>SUM(H5:H6)</f>
        <v>805.5</v>
      </c>
      <c r="I7" s="45">
        <f t="shared" ref="I7:S7" si="7">SUM(I5:I6)</f>
        <v>910</v>
      </c>
      <c r="J7" s="45">
        <f t="shared" si="7"/>
        <v>1292.2000000000003</v>
      </c>
      <c r="K7" s="45">
        <f t="shared" si="7"/>
        <v>1465.1</v>
      </c>
      <c r="L7" s="45">
        <f t="shared" si="7"/>
        <v>1838.2</v>
      </c>
      <c r="M7" s="45">
        <f t="shared" si="7"/>
        <v>1820</v>
      </c>
      <c r="N7" s="45">
        <f t="shared" si="7"/>
        <v>1437.8</v>
      </c>
      <c r="O7" s="45">
        <f t="shared" si="7"/>
        <v>1264.9000000000003</v>
      </c>
      <c r="P7" s="45">
        <f t="shared" si="7"/>
        <v>1465.1</v>
      </c>
      <c r="Q7" s="45">
        <f t="shared" si="7"/>
        <v>2220.3999999999996</v>
      </c>
      <c r="R7" s="45">
        <f t="shared" si="7"/>
        <v>2757.3</v>
      </c>
      <c r="S7" s="45">
        <f t="shared" si="7"/>
        <v>1073.5</v>
      </c>
      <c r="T7" s="80">
        <f>SUM(T5:T6)</f>
        <v>18350</v>
      </c>
    </row>
    <row r="9" spans="1:20" ht="29.25" customHeight="1" x14ac:dyDescent="0.25">
      <c r="A9" s="230" t="s">
        <v>45</v>
      </c>
      <c r="B9" s="231"/>
      <c r="C9" s="231"/>
      <c r="D9" s="231"/>
      <c r="E9" s="232"/>
    </row>
    <row r="10" spans="1:20" ht="18.75" x14ac:dyDescent="0.3">
      <c r="A10" s="198" t="s">
        <v>59</v>
      </c>
      <c r="B10" s="198"/>
      <c r="C10" s="198"/>
      <c r="D10" s="198"/>
      <c r="E10" s="31">
        <f>+'Resumen Presup de ventas'!B5</f>
        <v>18200</v>
      </c>
    </row>
    <row r="11" spans="1:20" ht="15.75" x14ac:dyDescent="0.25">
      <c r="A11" s="44" t="s">
        <v>46</v>
      </c>
      <c r="B11" s="229">
        <v>0.05</v>
      </c>
      <c r="C11" s="229"/>
      <c r="D11" s="229"/>
      <c r="E11" s="23">
        <f t="shared" ref="E11:E22" si="8">$E$10*B11</f>
        <v>910</v>
      </c>
    </row>
    <row r="12" spans="1:20" ht="15.75" x14ac:dyDescent="0.25">
      <c r="A12" s="44" t="s">
        <v>47</v>
      </c>
      <c r="B12" s="229">
        <v>0.05</v>
      </c>
      <c r="C12" s="229"/>
      <c r="D12" s="229"/>
      <c r="E12" s="23">
        <f t="shared" si="8"/>
        <v>910</v>
      </c>
    </row>
    <row r="13" spans="1:20" ht="15.75" x14ac:dyDescent="0.25">
      <c r="A13" s="44" t="s">
        <v>48</v>
      </c>
      <c r="B13" s="229">
        <v>7.0000000000000007E-2</v>
      </c>
      <c r="C13" s="229"/>
      <c r="D13" s="229"/>
      <c r="E13" s="23">
        <f t="shared" si="8"/>
        <v>1274.0000000000002</v>
      </c>
    </row>
    <row r="14" spans="1:20" ht="15.75" x14ac:dyDescent="0.25">
      <c r="A14" s="44" t="s">
        <v>49</v>
      </c>
      <c r="B14" s="229">
        <v>0.08</v>
      </c>
      <c r="C14" s="229"/>
      <c r="D14" s="229"/>
      <c r="E14" s="23">
        <f t="shared" si="8"/>
        <v>1456</v>
      </c>
    </row>
    <row r="15" spans="1:20" ht="15.75" x14ac:dyDescent="0.25">
      <c r="A15" s="44" t="s">
        <v>50</v>
      </c>
      <c r="B15" s="229">
        <v>0.1</v>
      </c>
      <c r="C15" s="229"/>
      <c r="D15" s="229"/>
      <c r="E15" s="23">
        <f t="shared" si="8"/>
        <v>1820</v>
      </c>
    </row>
    <row r="16" spans="1:20" ht="15.75" x14ac:dyDescent="0.25">
      <c r="A16" s="44" t="s">
        <v>51</v>
      </c>
      <c r="B16" s="229">
        <v>0.1</v>
      </c>
      <c r="C16" s="229"/>
      <c r="D16" s="229"/>
      <c r="E16" s="23">
        <f t="shared" si="8"/>
        <v>1820</v>
      </c>
    </row>
    <row r="17" spans="1:5" ht="15.75" x14ac:dyDescent="0.25">
      <c r="A17" s="44" t="s">
        <v>52</v>
      </c>
      <c r="B17" s="229">
        <v>0.08</v>
      </c>
      <c r="C17" s="229"/>
      <c r="D17" s="229"/>
      <c r="E17" s="23">
        <f t="shared" si="8"/>
        <v>1456</v>
      </c>
    </row>
    <row r="18" spans="1:5" ht="15.75" x14ac:dyDescent="0.25">
      <c r="A18" s="44" t="s">
        <v>53</v>
      </c>
      <c r="B18" s="229">
        <v>7.0000000000000007E-2</v>
      </c>
      <c r="C18" s="229"/>
      <c r="D18" s="229"/>
      <c r="E18" s="23">
        <f t="shared" si="8"/>
        <v>1274.0000000000002</v>
      </c>
    </row>
    <row r="19" spans="1:5" ht="15.75" x14ac:dyDescent="0.25">
      <c r="A19" s="44" t="s">
        <v>54</v>
      </c>
      <c r="B19" s="229">
        <v>0.08</v>
      </c>
      <c r="C19" s="229"/>
      <c r="D19" s="229"/>
      <c r="E19" s="23">
        <f t="shared" si="8"/>
        <v>1456</v>
      </c>
    </row>
    <row r="20" spans="1:5" ht="15.75" x14ac:dyDescent="0.25">
      <c r="A20" s="44" t="s">
        <v>55</v>
      </c>
      <c r="B20" s="229">
        <v>0.12</v>
      </c>
      <c r="C20" s="229"/>
      <c r="D20" s="229"/>
      <c r="E20" s="23">
        <f t="shared" si="8"/>
        <v>2184</v>
      </c>
    </row>
    <row r="21" spans="1:5" ht="15.75" x14ac:dyDescent="0.25">
      <c r="A21" s="44" t="s">
        <v>56</v>
      </c>
      <c r="B21" s="229">
        <v>0.15</v>
      </c>
      <c r="C21" s="229"/>
      <c r="D21" s="229"/>
      <c r="E21" s="23">
        <f t="shared" si="8"/>
        <v>2730</v>
      </c>
    </row>
    <row r="22" spans="1:5" ht="15.75" x14ac:dyDescent="0.25">
      <c r="A22" s="44" t="s">
        <v>57</v>
      </c>
      <c r="B22" s="229">
        <v>0.05</v>
      </c>
      <c r="C22" s="229"/>
      <c r="D22" s="229"/>
      <c r="E22" s="23">
        <f t="shared" si="8"/>
        <v>910</v>
      </c>
    </row>
    <row r="23" spans="1:5" ht="15.75" x14ac:dyDescent="0.25">
      <c r="A23" s="46" t="s">
        <v>58</v>
      </c>
      <c r="B23" s="242">
        <f>SUM(B11:B22)</f>
        <v>0.99999999999999989</v>
      </c>
      <c r="C23" s="243"/>
      <c r="D23" s="244"/>
      <c r="E23" s="47">
        <f>SUM(E11:E22)</f>
        <v>18200</v>
      </c>
    </row>
  </sheetData>
  <mergeCells count="36">
    <mergeCell ref="D5:E5"/>
    <mergeCell ref="A4:C4"/>
    <mergeCell ref="A5:C5"/>
    <mergeCell ref="B22:D22"/>
    <mergeCell ref="B23:D23"/>
    <mergeCell ref="B16:D16"/>
    <mergeCell ref="B17:D17"/>
    <mergeCell ref="B18:D18"/>
    <mergeCell ref="G1:G2"/>
    <mergeCell ref="H1:H2"/>
    <mergeCell ref="B19:D19"/>
    <mergeCell ref="B20:D20"/>
    <mergeCell ref="B21:D21"/>
    <mergeCell ref="A9:E9"/>
    <mergeCell ref="A10:D10"/>
    <mergeCell ref="B11:D11"/>
    <mergeCell ref="B12:D12"/>
    <mergeCell ref="B13:D13"/>
    <mergeCell ref="B14:D14"/>
    <mergeCell ref="B15:D15"/>
    <mergeCell ref="A7:E7"/>
    <mergeCell ref="A1:E1"/>
    <mergeCell ref="A3:E3"/>
    <mergeCell ref="D4:E4"/>
    <mergeCell ref="T1:T2"/>
    <mergeCell ref="Q1:Q2"/>
    <mergeCell ref="R1:R2"/>
    <mergeCell ref="S1:S2"/>
    <mergeCell ref="I1:I2"/>
    <mergeCell ref="J1:J2"/>
    <mergeCell ref="K1:K2"/>
    <mergeCell ref="L1:L2"/>
    <mergeCell ref="M1:M2"/>
    <mergeCell ref="N1:N2"/>
    <mergeCell ref="O1:O2"/>
    <mergeCell ref="P1:P2"/>
  </mergeCells>
  <phoneticPr fontId="12" type="noConversion"/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72"/>
  <sheetViews>
    <sheetView topLeftCell="A62" zoomScale="85" zoomScaleNormal="85" workbookViewId="0">
      <selection activeCell="J72" sqref="J72"/>
    </sheetView>
  </sheetViews>
  <sheetFormatPr baseColWidth="10" defaultRowHeight="15" x14ac:dyDescent="0.25"/>
  <cols>
    <col min="1" max="1" width="13.140625" bestFit="1" customWidth="1"/>
    <col min="2" max="2" width="22.140625" bestFit="1" customWidth="1"/>
    <col min="3" max="3" width="12.5703125" customWidth="1"/>
    <col min="4" max="4" width="13.42578125" customWidth="1"/>
    <col min="8" max="8" width="17.42578125" bestFit="1" customWidth="1"/>
    <col min="9" max="9" width="12.5703125" customWidth="1"/>
    <col min="10" max="10" width="23.140625" bestFit="1" customWidth="1"/>
    <col min="12" max="12" width="14" bestFit="1" customWidth="1"/>
  </cols>
  <sheetData>
    <row r="1" spans="1:12" ht="28.5" x14ac:dyDescent="0.45">
      <c r="A1" s="253" t="s">
        <v>88</v>
      </c>
      <c r="B1" s="254"/>
      <c r="C1" s="254"/>
      <c r="D1" s="254"/>
      <c r="E1" s="254"/>
      <c r="F1" s="254"/>
      <c r="G1" s="254"/>
      <c r="H1" s="254"/>
      <c r="I1" s="254"/>
      <c r="J1" s="255"/>
    </row>
    <row r="2" spans="1:12" ht="33" customHeight="1" x14ac:dyDescent="0.25">
      <c r="A2" s="256" t="str">
        <f>+'Ficha técnica'!B14</f>
        <v>Tela principal Leggins</v>
      </c>
      <c r="B2" s="257"/>
      <c r="C2" s="257"/>
      <c r="D2" s="257"/>
      <c r="E2" s="257"/>
      <c r="F2" s="257"/>
      <c r="G2" s="257"/>
      <c r="H2" s="257"/>
      <c r="I2" s="257"/>
      <c r="J2" s="258"/>
    </row>
    <row r="3" spans="1:12" ht="15.75" customHeight="1" x14ac:dyDescent="0.25">
      <c r="A3" s="247" t="s">
        <v>81</v>
      </c>
      <c r="B3" s="248" t="s">
        <v>82</v>
      </c>
      <c r="C3" s="245" t="s">
        <v>98</v>
      </c>
      <c r="D3" s="245" t="s">
        <v>99</v>
      </c>
      <c r="E3" s="245" t="s">
        <v>100</v>
      </c>
      <c r="F3" s="245" t="s">
        <v>101</v>
      </c>
      <c r="G3" s="245" t="s">
        <v>102</v>
      </c>
      <c r="H3" s="245" t="s">
        <v>103</v>
      </c>
      <c r="I3" s="245" t="s">
        <v>104</v>
      </c>
      <c r="J3" s="249" t="s">
        <v>105</v>
      </c>
    </row>
    <row r="4" spans="1:12" ht="17.25" customHeight="1" x14ac:dyDescent="0.25">
      <c r="A4" s="247"/>
      <c r="B4" s="248"/>
      <c r="C4" s="246"/>
      <c r="D4" s="246"/>
      <c r="E4" s="246"/>
      <c r="F4" s="246"/>
      <c r="G4" s="246" t="s">
        <v>83</v>
      </c>
      <c r="H4" s="246"/>
      <c r="I4" s="246"/>
      <c r="J4" s="250"/>
      <c r="L4" s="77"/>
    </row>
    <row r="5" spans="1:12" ht="15.75" x14ac:dyDescent="0.25">
      <c r="A5" s="81" t="s">
        <v>84</v>
      </c>
      <c r="B5" s="67" t="str">
        <f>+$A$2</f>
        <v>Tela principal Leggins</v>
      </c>
      <c r="C5" s="68" t="s">
        <v>85</v>
      </c>
      <c r="D5" s="259">
        <f>+'Ficha técnica'!$E$14</f>
        <v>1</v>
      </c>
      <c r="E5" s="68">
        <f>+'Presupuesto de producción'!H7</f>
        <v>805.5</v>
      </c>
      <c r="F5" s="78">
        <f>+E5*5%</f>
        <v>40.275000000000006</v>
      </c>
      <c r="G5" s="78">
        <f>+E5*5%</f>
        <v>40.275000000000006</v>
      </c>
      <c r="H5" s="69">
        <f>$D$5*(E5-F5+G5)</f>
        <v>805.5</v>
      </c>
      <c r="I5" s="70">
        <f>+'Ficha técnica'!$H$14</f>
        <v>15000</v>
      </c>
      <c r="J5" s="82">
        <f>+H5*I5</f>
        <v>12082500</v>
      </c>
      <c r="K5" s="66"/>
    </row>
    <row r="6" spans="1:12" ht="15.75" x14ac:dyDescent="0.25">
      <c r="A6" s="81" t="s">
        <v>86</v>
      </c>
      <c r="B6" s="67" t="str">
        <f t="shared" ref="B6:B16" si="0">+$A$2</f>
        <v>Tela principal Leggins</v>
      </c>
      <c r="C6" s="68" t="s">
        <v>85</v>
      </c>
      <c r="D6" s="260"/>
      <c r="E6" s="68">
        <f>+'Presupuesto de producción'!I7</f>
        <v>910</v>
      </c>
      <c r="F6" s="78">
        <f>+G5</f>
        <v>40.275000000000006</v>
      </c>
      <c r="G6" s="78">
        <f t="shared" ref="G6:G15" si="1">+E6*5%</f>
        <v>45.5</v>
      </c>
      <c r="H6" s="69">
        <f t="shared" ref="H6:H15" si="2">$D$5*(E6-F6+G6)</f>
        <v>915.22500000000002</v>
      </c>
      <c r="I6" s="70">
        <f>+'Ficha técnica'!$H$14</f>
        <v>15000</v>
      </c>
      <c r="J6" s="82">
        <f t="shared" ref="J6:J16" si="3">+H6*I6</f>
        <v>13728375</v>
      </c>
    </row>
    <row r="7" spans="1:12" ht="15.75" x14ac:dyDescent="0.25">
      <c r="A7" s="81" t="s">
        <v>87</v>
      </c>
      <c r="B7" s="67" t="str">
        <f t="shared" si="0"/>
        <v>Tela principal Leggins</v>
      </c>
      <c r="C7" s="68" t="s">
        <v>85</v>
      </c>
      <c r="D7" s="260"/>
      <c r="E7" s="68">
        <f>+'Presupuesto de producción'!J7</f>
        <v>1292.2000000000003</v>
      </c>
      <c r="F7" s="78">
        <f t="shared" ref="F7:F16" si="4">+G6</f>
        <v>45.5</v>
      </c>
      <c r="G7" s="78">
        <f t="shared" si="1"/>
        <v>64.610000000000014</v>
      </c>
      <c r="H7" s="69">
        <f t="shared" si="2"/>
        <v>1311.3100000000004</v>
      </c>
      <c r="I7" s="70">
        <f>+'Ficha técnica'!$H$14</f>
        <v>15000</v>
      </c>
      <c r="J7" s="82">
        <f t="shared" si="3"/>
        <v>19669650.000000007</v>
      </c>
    </row>
    <row r="8" spans="1:12" ht="15.75" x14ac:dyDescent="0.25">
      <c r="A8" s="81" t="s">
        <v>89</v>
      </c>
      <c r="B8" s="67" t="str">
        <f t="shared" si="0"/>
        <v>Tela principal Leggins</v>
      </c>
      <c r="C8" s="68" t="s">
        <v>85</v>
      </c>
      <c r="D8" s="260"/>
      <c r="E8" s="68">
        <f>+'Presupuesto de producción'!K7</f>
        <v>1465.1</v>
      </c>
      <c r="F8" s="78">
        <f t="shared" si="4"/>
        <v>64.610000000000014</v>
      </c>
      <c r="G8" s="78">
        <f t="shared" si="1"/>
        <v>73.254999999999995</v>
      </c>
      <c r="H8" s="69">
        <f t="shared" si="2"/>
        <v>1473.7449999999999</v>
      </c>
      <c r="I8" s="70">
        <f>+'Ficha técnica'!$H$14</f>
        <v>15000</v>
      </c>
      <c r="J8" s="82">
        <f t="shared" si="3"/>
        <v>22106175</v>
      </c>
    </row>
    <row r="9" spans="1:12" ht="15.75" x14ac:dyDescent="0.25">
      <c r="A9" s="81" t="s">
        <v>90</v>
      </c>
      <c r="B9" s="67" t="str">
        <f t="shared" si="0"/>
        <v>Tela principal Leggins</v>
      </c>
      <c r="C9" s="68" t="s">
        <v>85</v>
      </c>
      <c r="D9" s="260"/>
      <c r="E9" s="68">
        <f>+'Presupuesto de producción'!L7</f>
        <v>1838.2</v>
      </c>
      <c r="F9" s="78">
        <f t="shared" si="4"/>
        <v>73.254999999999995</v>
      </c>
      <c r="G9" s="78">
        <f t="shared" si="1"/>
        <v>91.910000000000011</v>
      </c>
      <c r="H9" s="69">
        <f t="shared" si="2"/>
        <v>1856.8550000000002</v>
      </c>
      <c r="I9" s="70">
        <f>+'Ficha técnica'!$H$14</f>
        <v>15000</v>
      </c>
      <c r="J9" s="82">
        <f t="shared" si="3"/>
        <v>27852825.000000004</v>
      </c>
    </row>
    <row r="10" spans="1:12" ht="15.75" x14ac:dyDescent="0.25">
      <c r="A10" s="81" t="s">
        <v>91</v>
      </c>
      <c r="B10" s="67" t="str">
        <f t="shared" si="0"/>
        <v>Tela principal Leggins</v>
      </c>
      <c r="C10" s="68" t="s">
        <v>85</v>
      </c>
      <c r="D10" s="260"/>
      <c r="E10" s="68">
        <f>+'Presupuesto de producción'!M7</f>
        <v>1820</v>
      </c>
      <c r="F10" s="78">
        <f t="shared" si="4"/>
        <v>91.910000000000011</v>
      </c>
      <c r="G10" s="78">
        <f t="shared" si="1"/>
        <v>91</v>
      </c>
      <c r="H10" s="69">
        <f t="shared" si="2"/>
        <v>1819.09</v>
      </c>
      <c r="I10" s="70">
        <f>+'Ficha técnica'!$H$14</f>
        <v>15000</v>
      </c>
      <c r="J10" s="82">
        <f t="shared" si="3"/>
        <v>27286350</v>
      </c>
    </row>
    <row r="11" spans="1:12" ht="15.75" x14ac:dyDescent="0.25">
      <c r="A11" s="81" t="s">
        <v>92</v>
      </c>
      <c r="B11" s="67" t="str">
        <f t="shared" si="0"/>
        <v>Tela principal Leggins</v>
      </c>
      <c r="C11" s="68" t="s">
        <v>85</v>
      </c>
      <c r="D11" s="260"/>
      <c r="E11" s="68">
        <f>+'Presupuesto de producción'!N7</f>
        <v>1437.8</v>
      </c>
      <c r="F11" s="78">
        <f t="shared" si="4"/>
        <v>91</v>
      </c>
      <c r="G11" s="78">
        <f t="shared" si="1"/>
        <v>71.89</v>
      </c>
      <c r="H11" s="69">
        <f t="shared" si="2"/>
        <v>1418.69</v>
      </c>
      <c r="I11" s="70">
        <f>+'Ficha técnica'!$H$14</f>
        <v>15000</v>
      </c>
      <c r="J11" s="82">
        <f t="shared" si="3"/>
        <v>21280350</v>
      </c>
    </row>
    <row r="12" spans="1:12" ht="15.75" x14ac:dyDescent="0.25">
      <c r="A12" s="81" t="s">
        <v>93</v>
      </c>
      <c r="B12" s="67" t="str">
        <f t="shared" si="0"/>
        <v>Tela principal Leggins</v>
      </c>
      <c r="C12" s="68" t="s">
        <v>85</v>
      </c>
      <c r="D12" s="260"/>
      <c r="E12" s="68">
        <f>+'Presupuesto de producción'!O7</f>
        <v>1264.9000000000003</v>
      </c>
      <c r="F12" s="78">
        <f t="shared" si="4"/>
        <v>71.89</v>
      </c>
      <c r="G12" s="78">
        <f t="shared" si="1"/>
        <v>63.245000000000019</v>
      </c>
      <c r="H12" s="69">
        <f t="shared" si="2"/>
        <v>1256.2550000000003</v>
      </c>
      <c r="I12" s="70">
        <f>+'Ficha técnica'!$H$14</f>
        <v>15000</v>
      </c>
      <c r="J12" s="82">
        <f t="shared" si="3"/>
        <v>18843825.000000004</v>
      </c>
    </row>
    <row r="13" spans="1:12" ht="15.75" x14ac:dyDescent="0.25">
      <c r="A13" s="81" t="s">
        <v>94</v>
      </c>
      <c r="B13" s="67" t="str">
        <f t="shared" si="0"/>
        <v>Tela principal Leggins</v>
      </c>
      <c r="C13" s="68" t="s">
        <v>85</v>
      </c>
      <c r="D13" s="260"/>
      <c r="E13" s="68">
        <f>+'Presupuesto de producción'!P7</f>
        <v>1465.1</v>
      </c>
      <c r="F13" s="78">
        <f t="shared" si="4"/>
        <v>63.245000000000019</v>
      </c>
      <c r="G13" s="78">
        <f t="shared" si="1"/>
        <v>73.254999999999995</v>
      </c>
      <c r="H13" s="69">
        <f t="shared" si="2"/>
        <v>1475.1099999999997</v>
      </c>
      <c r="I13" s="70">
        <f>+'Ficha técnica'!$H$14</f>
        <v>15000</v>
      </c>
      <c r="J13" s="82">
        <f t="shared" si="3"/>
        <v>22126649.999999996</v>
      </c>
    </row>
    <row r="14" spans="1:12" ht="15.75" x14ac:dyDescent="0.25">
      <c r="A14" s="81" t="s">
        <v>95</v>
      </c>
      <c r="B14" s="67" t="str">
        <f t="shared" si="0"/>
        <v>Tela principal Leggins</v>
      </c>
      <c r="C14" s="68" t="s">
        <v>85</v>
      </c>
      <c r="D14" s="260"/>
      <c r="E14" s="68">
        <f>+'Presupuesto de producción'!Q7</f>
        <v>2220.3999999999996</v>
      </c>
      <c r="F14" s="78">
        <f t="shared" si="4"/>
        <v>73.254999999999995</v>
      </c>
      <c r="G14" s="78">
        <f t="shared" si="1"/>
        <v>111.01999999999998</v>
      </c>
      <c r="H14" s="69">
        <f t="shared" si="2"/>
        <v>2258.1649999999995</v>
      </c>
      <c r="I14" s="70">
        <f>+'Ficha técnica'!$H$14</f>
        <v>15000</v>
      </c>
      <c r="J14" s="82">
        <f t="shared" si="3"/>
        <v>33872474.999999993</v>
      </c>
    </row>
    <row r="15" spans="1:12" ht="15.75" x14ac:dyDescent="0.25">
      <c r="A15" s="81" t="s">
        <v>96</v>
      </c>
      <c r="B15" s="67" t="str">
        <f t="shared" si="0"/>
        <v>Tela principal Leggins</v>
      </c>
      <c r="C15" s="68" t="s">
        <v>85</v>
      </c>
      <c r="D15" s="260"/>
      <c r="E15" s="68">
        <f>+'Presupuesto de producción'!R7</f>
        <v>2757.3</v>
      </c>
      <c r="F15" s="78">
        <f t="shared" si="4"/>
        <v>111.01999999999998</v>
      </c>
      <c r="G15" s="78">
        <f t="shared" si="1"/>
        <v>137.86500000000001</v>
      </c>
      <c r="H15" s="69">
        <f t="shared" si="2"/>
        <v>2784.1450000000004</v>
      </c>
      <c r="I15" s="70">
        <f>+'Ficha técnica'!$H$14</f>
        <v>15000</v>
      </c>
      <c r="J15" s="82">
        <f t="shared" si="3"/>
        <v>41762175.000000007</v>
      </c>
    </row>
    <row r="16" spans="1:12" ht="15.75" x14ac:dyDescent="0.25">
      <c r="A16" s="81" t="s">
        <v>97</v>
      </c>
      <c r="B16" s="67" t="str">
        <f t="shared" si="0"/>
        <v>Tela principal Leggins</v>
      </c>
      <c r="C16" s="68" t="s">
        <v>85</v>
      </c>
      <c r="D16" s="261"/>
      <c r="E16" s="68">
        <f>+'Presupuesto de producción'!S7</f>
        <v>1073.5</v>
      </c>
      <c r="F16" s="78">
        <f t="shared" si="4"/>
        <v>137.86500000000001</v>
      </c>
      <c r="G16" s="78">
        <f>+E16*5%</f>
        <v>53.675000000000004</v>
      </c>
      <c r="H16" s="69">
        <f>$D$5*(E16-F16+G16)</f>
        <v>989.31</v>
      </c>
      <c r="I16" s="70">
        <f>+'Ficha técnica'!$H$14</f>
        <v>15000</v>
      </c>
      <c r="J16" s="82">
        <f t="shared" si="3"/>
        <v>14839650</v>
      </c>
    </row>
    <row r="17" spans="1:10" ht="18.75" x14ac:dyDescent="0.3">
      <c r="A17" s="251" t="s">
        <v>134</v>
      </c>
      <c r="B17" s="252"/>
      <c r="C17" s="252"/>
      <c r="D17" s="252"/>
      <c r="E17" s="252"/>
      <c r="F17" s="252"/>
      <c r="G17" s="252"/>
      <c r="H17" s="252"/>
      <c r="I17" s="252"/>
      <c r="J17" s="83">
        <f>SUM(J5:J16)</f>
        <v>275451000</v>
      </c>
    </row>
    <row r="18" spans="1:10" x14ac:dyDescent="0.25">
      <c r="A18" s="204"/>
      <c r="B18" s="205"/>
      <c r="C18" s="205"/>
      <c r="D18" s="205"/>
      <c r="E18" s="205"/>
      <c r="F18" s="205"/>
      <c r="G18" s="205"/>
      <c r="H18" s="205"/>
      <c r="I18" s="205"/>
      <c r="J18" s="206"/>
    </row>
    <row r="19" spans="1:10" ht="26.25" x14ac:dyDescent="0.25">
      <c r="A19" s="262" t="str">
        <f>+'Ficha técnica'!B15</f>
        <v>Tela principal Top</v>
      </c>
      <c r="B19" s="263"/>
      <c r="C19" s="263"/>
      <c r="D19" s="263"/>
      <c r="E19" s="263"/>
      <c r="F19" s="263"/>
      <c r="G19" s="263"/>
      <c r="H19" s="263"/>
      <c r="I19" s="263"/>
      <c r="J19" s="264"/>
    </row>
    <row r="20" spans="1:10" ht="15" customHeight="1" x14ac:dyDescent="0.25">
      <c r="A20" s="247" t="s">
        <v>81</v>
      </c>
      <c r="B20" s="248" t="s">
        <v>82</v>
      </c>
      <c r="C20" s="245" t="s">
        <v>98</v>
      </c>
      <c r="D20" s="245" t="s">
        <v>99</v>
      </c>
      <c r="E20" s="245" t="s">
        <v>100</v>
      </c>
      <c r="F20" s="245" t="s">
        <v>101</v>
      </c>
      <c r="G20" s="245" t="s">
        <v>102</v>
      </c>
      <c r="H20" s="245" t="s">
        <v>103</v>
      </c>
      <c r="I20" s="245" t="s">
        <v>104</v>
      </c>
      <c r="J20" s="249" t="s">
        <v>105</v>
      </c>
    </row>
    <row r="21" spans="1:10" ht="15" customHeight="1" x14ac:dyDescent="0.25">
      <c r="A21" s="247"/>
      <c r="B21" s="248"/>
      <c r="C21" s="246"/>
      <c r="D21" s="246"/>
      <c r="E21" s="246"/>
      <c r="F21" s="246"/>
      <c r="G21" s="246" t="s">
        <v>83</v>
      </c>
      <c r="H21" s="246"/>
      <c r="I21" s="246"/>
      <c r="J21" s="250"/>
    </row>
    <row r="22" spans="1:10" ht="15.75" x14ac:dyDescent="0.25">
      <c r="A22" s="81" t="s">
        <v>84</v>
      </c>
      <c r="B22" s="67" t="str">
        <f>+$A$19</f>
        <v>Tela principal Top</v>
      </c>
      <c r="C22" s="68" t="s">
        <v>85</v>
      </c>
      <c r="D22" s="259">
        <f>+'Ficha técnica'!E15</f>
        <v>0.5</v>
      </c>
      <c r="E22" s="68">
        <f>+E5</f>
        <v>805.5</v>
      </c>
      <c r="F22" s="78">
        <f>+E22*5%</f>
        <v>40.275000000000006</v>
      </c>
      <c r="G22" s="78">
        <f>+E22*5%</f>
        <v>40.275000000000006</v>
      </c>
      <c r="H22" s="69">
        <f>$D$22*(E22-F22+G22)</f>
        <v>402.75</v>
      </c>
      <c r="I22" s="70">
        <f>+'Ficha técnica'!$H$15</f>
        <v>22000</v>
      </c>
      <c r="J22" s="82">
        <f>+H22*I22</f>
        <v>8860500</v>
      </c>
    </row>
    <row r="23" spans="1:10" ht="15.75" x14ac:dyDescent="0.25">
      <c r="A23" s="81" t="s">
        <v>86</v>
      </c>
      <c r="B23" s="67" t="str">
        <f t="shared" ref="B23:B33" si="5">+$A$19</f>
        <v>Tela principal Top</v>
      </c>
      <c r="C23" s="68" t="s">
        <v>85</v>
      </c>
      <c r="D23" s="260"/>
      <c r="E23" s="68">
        <f t="shared" ref="E23:E33" si="6">+E6</f>
        <v>910</v>
      </c>
      <c r="F23" s="78">
        <f>+G22</f>
        <v>40.275000000000006</v>
      </c>
      <c r="G23" s="78">
        <f t="shared" ref="G23:G33" si="7">+E23*5%</f>
        <v>45.5</v>
      </c>
      <c r="H23" s="69">
        <f t="shared" ref="H23:H33" si="8">$D$22*(E23-F23+G23)</f>
        <v>457.61250000000001</v>
      </c>
      <c r="I23" s="70">
        <f>+I22</f>
        <v>22000</v>
      </c>
      <c r="J23" s="82">
        <f t="shared" ref="J23:J33" si="9">+H23*I23</f>
        <v>10067475</v>
      </c>
    </row>
    <row r="24" spans="1:10" ht="15.75" x14ac:dyDescent="0.25">
      <c r="A24" s="81" t="s">
        <v>87</v>
      </c>
      <c r="B24" s="67" t="str">
        <f t="shared" si="5"/>
        <v>Tela principal Top</v>
      </c>
      <c r="C24" s="68" t="s">
        <v>85</v>
      </c>
      <c r="D24" s="260"/>
      <c r="E24" s="68">
        <f t="shared" si="6"/>
        <v>1292.2000000000003</v>
      </c>
      <c r="F24" s="78">
        <f>+G23</f>
        <v>45.5</v>
      </c>
      <c r="G24" s="78">
        <f t="shared" si="7"/>
        <v>64.610000000000014</v>
      </c>
      <c r="H24" s="69">
        <f t="shared" si="8"/>
        <v>655.6550000000002</v>
      </c>
      <c r="I24" s="70">
        <f t="shared" ref="I24:I33" si="10">+I23</f>
        <v>22000</v>
      </c>
      <c r="J24" s="82">
        <f t="shared" si="9"/>
        <v>14424410.000000004</v>
      </c>
    </row>
    <row r="25" spans="1:10" ht="15.75" x14ac:dyDescent="0.25">
      <c r="A25" s="81" t="s">
        <v>89</v>
      </c>
      <c r="B25" s="67" t="str">
        <f t="shared" si="5"/>
        <v>Tela principal Top</v>
      </c>
      <c r="C25" s="68" t="s">
        <v>85</v>
      </c>
      <c r="D25" s="260"/>
      <c r="E25" s="68">
        <f t="shared" si="6"/>
        <v>1465.1</v>
      </c>
      <c r="F25" s="78">
        <f t="shared" ref="F25:F33" si="11">+G24</f>
        <v>64.610000000000014</v>
      </c>
      <c r="G25" s="78">
        <f t="shared" si="7"/>
        <v>73.254999999999995</v>
      </c>
      <c r="H25" s="69">
        <f t="shared" si="8"/>
        <v>736.87249999999995</v>
      </c>
      <c r="I25" s="70">
        <f t="shared" si="10"/>
        <v>22000</v>
      </c>
      <c r="J25" s="82">
        <f t="shared" si="9"/>
        <v>16211194.999999998</v>
      </c>
    </row>
    <row r="26" spans="1:10" ht="15.75" x14ac:dyDescent="0.25">
      <c r="A26" s="81" t="s">
        <v>90</v>
      </c>
      <c r="B26" s="67" t="str">
        <f t="shared" si="5"/>
        <v>Tela principal Top</v>
      </c>
      <c r="C26" s="68" t="s">
        <v>85</v>
      </c>
      <c r="D26" s="260"/>
      <c r="E26" s="68">
        <f t="shared" si="6"/>
        <v>1838.2</v>
      </c>
      <c r="F26" s="78">
        <f t="shared" si="11"/>
        <v>73.254999999999995</v>
      </c>
      <c r="G26" s="78">
        <f t="shared" si="7"/>
        <v>91.910000000000011</v>
      </c>
      <c r="H26" s="69">
        <f t="shared" si="8"/>
        <v>928.42750000000012</v>
      </c>
      <c r="I26" s="70">
        <f t="shared" si="10"/>
        <v>22000</v>
      </c>
      <c r="J26" s="82">
        <f t="shared" si="9"/>
        <v>20425405.000000004</v>
      </c>
    </row>
    <row r="27" spans="1:10" ht="15.75" x14ac:dyDescent="0.25">
      <c r="A27" s="81" t="s">
        <v>91</v>
      </c>
      <c r="B27" s="67" t="str">
        <f t="shared" si="5"/>
        <v>Tela principal Top</v>
      </c>
      <c r="C27" s="68" t="s">
        <v>85</v>
      </c>
      <c r="D27" s="260"/>
      <c r="E27" s="68">
        <f t="shared" si="6"/>
        <v>1820</v>
      </c>
      <c r="F27" s="78">
        <f t="shared" si="11"/>
        <v>91.910000000000011</v>
      </c>
      <c r="G27" s="78">
        <f t="shared" si="7"/>
        <v>91</v>
      </c>
      <c r="H27" s="69">
        <f t="shared" si="8"/>
        <v>909.54499999999996</v>
      </c>
      <c r="I27" s="70">
        <f t="shared" si="10"/>
        <v>22000</v>
      </c>
      <c r="J27" s="82">
        <f t="shared" si="9"/>
        <v>20009990</v>
      </c>
    </row>
    <row r="28" spans="1:10" ht="15.75" x14ac:dyDescent="0.25">
      <c r="A28" s="81" t="s">
        <v>92</v>
      </c>
      <c r="B28" s="67" t="str">
        <f t="shared" si="5"/>
        <v>Tela principal Top</v>
      </c>
      <c r="C28" s="68" t="s">
        <v>85</v>
      </c>
      <c r="D28" s="260"/>
      <c r="E28" s="68">
        <f t="shared" si="6"/>
        <v>1437.8</v>
      </c>
      <c r="F28" s="78">
        <f t="shared" si="11"/>
        <v>91</v>
      </c>
      <c r="G28" s="78">
        <f t="shared" si="7"/>
        <v>71.89</v>
      </c>
      <c r="H28" s="69">
        <f t="shared" si="8"/>
        <v>709.34500000000003</v>
      </c>
      <c r="I28" s="70">
        <f t="shared" si="10"/>
        <v>22000</v>
      </c>
      <c r="J28" s="82">
        <f t="shared" si="9"/>
        <v>15605590</v>
      </c>
    </row>
    <row r="29" spans="1:10" ht="15.75" x14ac:dyDescent="0.25">
      <c r="A29" s="81" t="s">
        <v>93</v>
      </c>
      <c r="B29" s="67" t="str">
        <f t="shared" si="5"/>
        <v>Tela principal Top</v>
      </c>
      <c r="C29" s="68" t="s">
        <v>85</v>
      </c>
      <c r="D29" s="260"/>
      <c r="E29" s="68">
        <f t="shared" si="6"/>
        <v>1264.9000000000003</v>
      </c>
      <c r="F29" s="78">
        <f t="shared" si="11"/>
        <v>71.89</v>
      </c>
      <c r="G29" s="78">
        <f t="shared" si="7"/>
        <v>63.245000000000019</v>
      </c>
      <c r="H29" s="69">
        <f t="shared" si="8"/>
        <v>628.12750000000017</v>
      </c>
      <c r="I29" s="70">
        <f t="shared" si="10"/>
        <v>22000</v>
      </c>
      <c r="J29" s="82">
        <f t="shared" si="9"/>
        <v>13818805.000000004</v>
      </c>
    </row>
    <row r="30" spans="1:10" ht="15.75" x14ac:dyDescent="0.25">
      <c r="A30" s="81" t="s">
        <v>94</v>
      </c>
      <c r="B30" s="67" t="str">
        <f t="shared" si="5"/>
        <v>Tela principal Top</v>
      </c>
      <c r="C30" s="68" t="s">
        <v>85</v>
      </c>
      <c r="D30" s="260"/>
      <c r="E30" s="68">
        <f t="shared" si="6"/>
        <v>1465.1</v>
      </c>
      <c r="F30" s="78">
        <f t="shared" si="11"/>
        <v>63.245000000000019</v>
      </c>
      <c r="G30" s="78">
        <f t="shared" si="7"/>
        <v>73.254999999999995</v>
      </c>
      <c r="H30" s="69">
        <f t="shared" si="8"/>
        <v>737.55499999999984</v>
      </c>
      <c r="I30" s="70">
        <f t="shared" si="10"/>
        <v>22000</v>
      </c>
      <c r="J30" s="82">
        <f t="shared" si="9"/>
        <v>16226209.999999996</v>
      </c>
    </row>
    <row r="31" spans="1:10" ht="15.75" x14ac:dyDescent="0.25">
      <c r="A31" s="81" t="s">
        <v>95</v>
      </c>
      <c r="B31" s="67" t="str">
        <f t="shared" si="5"/>
        <v>Tela principal Top</v>
      </c>
      <c r="C31" s="68" t="s">
        <v>85</v>
      </c>
      <c r="D31" s="260"/>
      <c r="E31" s="68">
        <f t="shared" si="6"/>
        <v>2220.3999999999996</v>
      </c>
      <c r="F31" s="78">
        <f t="shared" si="11"/>
        <v>73.254999999999995</v>
      </c>
      <c r="G31" s="78">
        <f t="shared" si="7"/>
        <v>111.01999999999998</v>
      </c>
      <c r="H31" s="69">
        <f t="shared" si="8"/>
        <v>1129.0824999999998</v>
      </c>
      <c r="I31" s="70">
        <f t="shared" si="10"/>
        <v>22000</v>
      </c>
      <c r="J31" s="82">
        <f t="shared" si="9"/>
        <v>24839814.999999996</v>
      </c>
    </row>
    <row r="32" spans="1:10" ht="15.75" x14ac:dyDescent="0.25">
      <c r="A32" s="81" t="s">
        <v>96</v>
      </c>
      <c r="B32" s="67" t="str">
        <f t="shared" si="5"/>
        <v>Tela principal Top</v>
      </c>
      <c r="C32" s="68" t="s">
        <v>85</v>
      </c>
      <c r="D32" s="260"/>
      <c r="E32" s="68">
        <f t="shared" si="6"/>
        <v>2757.3</v>
      </c>
      <c r="F32" s="78">
        <f t="shared" si="11"/>
        <v>111.01999999999998</v>
      </c>
      <c r="G32" s="78">
        <f t="shared" si="7"/>
        <v>137.86500000000001</v>
      </c>
      <c r="H32" s="69">
        <f t="shared" si="8"/>
        <v>1392.0725000000002</v>
      </c>
      <c r="I32" s="70">
        <f t="shared" si="10"/>
        <v>22000</v>
      </c>
      <c r="J32" s="82">
        <f t="shared" si="9"/>
        <v>30625595.000000004</v>
      </c>
    </row>
    <row r="33" spans="1:10" ht="15.75" x14ac:dyDescent="0.25">
      <c r="A33" s="81" t="s">
        <v>97</v>
      </c>
      <c r="B33" s="67" t="str">
        <f t="shared" si="5"/>
        <v>Tela principal Top</v>
      </c>
      <c r="C33" s="68" t="s">
        <v>85</v>
      </c>
      <c r="D33" s="261"/>
      <c r="E33" s="68">
        <f t="shared" si="6"/>
        <v>1073.5</v>
      </c>
      <c r="F33" s="78">
        <f t="shared" si="11"/>
        <v>137.86500000000001</v>
      </c>
      <c r="G33" s="78">
        <f t="shared" si="7"/>
        <v>53.675000000000004</v>
      </c>
      <c r="H33" s="69">
        <f t="shared" si="8"/>
        <v>494.65499999999997</v>
      </c>
      <c r="I33" s="70">
        <f t="shared" si="10"/>
        <v>22000</v>
      </c>
      <c r="J33" s="82">
        <f t="shared" si="9"/>
        <v>10882410</v>
      </c>
    </row>
    <row r="34" spans="1:10" ht="18.75" x14ac:dyDescent="0.3">
      <c r="A34" s="251" t="s">
        <v>135</v>
      </c>
      <c r="B34" s="252"/>
      <c r="C34" s="252"/>
      <c r="D34" s="252"/>
      <c r="E34" s="252"/>
      <c r="F34" s="252"/>
      <c r="G34" s="252"/>
      <c r="H34" s="252"/>
      <c r="I34" s="252"/>
      <c r="J34" s="84">
        <f>SUM(J22:J33)</f>
        <v>201997400</v>
      </c>
    </row>
    <row r="35" spans="1:10" x14ac:dyDescent="0.25">
      <c r="A35" s="71"/>
      <c r="J35" s="85"/>
    </row>
    <row r="36" spans="1:10" ht="28.5" x14ac:dyDescent="0.25">
      <c r="A36" s="256" t="str">
        <f>'Ficha técnica'!B16</f>
        <v>Cinta adhesiva termofusible</v>
      </c>
      <c r="B36" s="257"/>
      <c r="C36" s="257"/>
      <c r="D36" s="257"/>
      <c r="E36" s="257"/>
      <c r="F36" s="257"/>
      <c r="G36" s="257"/>
      <c r="H36" s="257"/>
      <c r="I36" s="257"/>
      <c r="J36" s="258"/>
    </row>
    <row r="37" spans="1:10" ht="15" customHeight="1" x14ac:dyDescent="0.25">
      <c r="A37" s="247" t="s">
        <v>81</v>
      </c>
      <c r="B37" s="248" t="s">
        <v>82</v>
      </c>
      <c r="C37" s="245" t="s">
        <v>98</v>
      </c>
      <c r="D37" s="245" t="s">
        <v>99</v>
      </c>
      <c r="E37" s="245" t="s">
        <v>100</v>
      </c>
      <c r="F37" s="245" t="s">
        <v>101</v>
      </c>
      <c r="G37" s="245" t="s">
        <v>102</v>
      </c>
      <c r="H37" s="245" t="s">
        <v>103</v>
      </c>
      <c r="I37" s="245" t="s">
        <v>104</v>
      </c>
      <c r="J37" s="249" t="s">
        <v>105</v>
      </c>
    </row>
    <row r="38" spans="1:10" ht="15" customHeight="1" x14ac:dyDescent="0.25">
      <c r="A38" s="247"/>
      <c r="B38" s="248"/>
      <c r="C38" s="246"/>
      <c r="D38" s="246"/>
      <c r="E38" s="246"/>
      <c r="F38" s="246"/>
      <c r="G38" s="246" t="s">
        <v>83</v>
      </c>
      <c r="H38" s="246"/>
      <c r="I38" s="246"/>
      <c r="J38" s="250"/>
    </row>
    <row r="39" spans="1:10" ht="15.75" x14ac:dyDescent="0.25">
      <c r="A39" s="81" t="s">
        <v>84</v>
      </c>
      <c r="B39" s="67" t="s">
        <v>130</v>
      </c>
      <c r="C39" s="68" t="s">
        <v>85</v>
      </c>
      <c r="D39" s="265">
        <f>+'Ficha técnica'!E16</f>
        <v>2</v>
      </c>
      <c r="E39" s="68">
        <f>+E22</f>
        <v>805.5</v>
      </c>
      <c r="F39" s="78">
        <f>+E39*5%</f>
        <v>40.275000000000006</v>
      </c>
      <c r="G39" s="78">
        <f>+E39*5%</f>
        <v>40.275000000000006</v>
      </c>
      <c r="H39" s="69">
        <f>$D$39*(E39-F39+G39)</f>
        <v>1611</v>
      </c>
      <c r="I39" s="70">
        <f>+'Ficha técnica'!$H$16</f>
        <v>1500</v>
      </c>
      <c r="J39" s="82">
        <f>+H39*I39</f>
        <v>2416500</v>
      </c>
    </row>
    <row r="40" spans="1:10" ht="15.75" x14ac:dyDescent="0.25">
      <c r="A40" s="81" t="s">
        <v>86</v>
      </c>
      <c r="B40" s="67" t="s">
        <v>130</v>
      </c>
      <c r="C40" s="68" t="s">
        <v>85</v>
      </c>
      <c r="D40" s="266"/>
      <c r="E40" s="68">
        <f t="shared" ref="E40:E50" si="12">+E23</f>
        <v>910</v>
      </c>
      <c r="F40" s="78">
        <f>+G39</f>
        <v>40.275000000000006</v>
      </c>
      <c r="G40" s="78">
        <f t="shared" ref="G40:G49" si="13">+E40*3%</f>
        <v>27.3</v>
      </c>
      <c r="H40" s="69">
        <f t="shared" ref="H40:H50" si="14">$D$39*(E40-F40+G40)</f>
        <v>1794.05</v>
      </c>
      <c r="I40" s="70">
        <f>+I39</f>
        <v>1500</v>
      </c>
      <c r="J40" s="82">
        <f t="shared" ref="J40:J50" si="15">+H40*I40</f>
        <v>2691075</v>
      </c>
    </row>
    <row r="41" spans="1:10" ht="15.75" x14ac:dyDescent="0.25">
      <c r="A41" s="81" t="s">
        <v>87</v>
      </c>
      <c r="B41" s="67" t="s">
        <v>130</v>
      </c>
      <c r="C41" s="68" t="s">
        <v>85</v>
      </c>
      <c r="D41" s="266"/>
      <c r="E41" s="68">
        <f t="shared" si="12"/>
        <v>1292.2000000000003</v>
      </c>
      <c r="F41" s="78">
        <f>+G40</f>
        <v>27.3</v>
      </c>
      <c r="G41" s="78">
        <f t="shared" si="13"/>
        <v>38.766000000000005</v>
      </c>
      <c r="H41" s="69">
        <f t="shared" si="14"/>
        <v>2607.3320000000008</v>
      </c>
      <c r="I41" s="70">
        <f t="shared" ref="I41:I50" si="16">+I40</f>
        <v>1500</v>
      </c>
      <c r="J41" s="82">
        <f t="shared" si="15"/>
        <v>3910998.0000000014</v>
      </c>
    </row>
    <row r="42" spans="1:10" ht="15.75" x14ac:dyDescent="0.25">
      <c r="A42" s="81" t="s">
        <v>89</v>
      </c>
      <c r="B42" s="67" t="s">
        <v>130</v>
      </c>
      <c r="C42" s="68" t="s">
        <v>85</v>
      </c>
      <c r="D42" s="266"/>
      <c r="E42" s="68">
        <f t="shared" si="12"/>
        <v>1465.1</v>
      </c>
      <c r="F42" s="78">
        <f t="shared" ref="F42:F50" si="17">+G41</f>
        <v>38.766000000000005</v>
      </c>
      <c r="G42" s="78">
        <f t="shared" si="13"/>
        <v>43.952999999999996</v>
      </c>
      <c r="H42" s="69">
        <f t="shared" si="14"/>
        <v>2940.5739999999996</v>
      </c>
      <c r="I42" s="70">
        <f t="shared" si="16"/>
        <v>1500</v>
      </c>
      <c r="J42" s="82">
        <f t="shared" si="15"/>
        <v>4410860.9999999991</v>
      </c>
    </row>
    <row r="43" spans="1:10" ht="15.75" x14ac:dyDescent="0.25">
      <c r="A43" s="81" t="s">
        <v>90</v>
      </c>
      <c r="B43" s="67" t="s">
        <v>130</v>
      </c>
      <c r="C43" s="68" t="s">
        <v>85</v>
      </c>
      <c r="D43" s="266"/>
      <c r="E43" s="68">
        <f t="shared" si="12"/>
        <v>1838.2</v>
      </c>
      <c r="F43" s="78">
        <f t="shared" si="17"/>
        <v>43.952999999999996</v>
      </c>
      <c r="G43" s="78">
        <f t="shared" si="13"/>
        <v>55.146000000000001</v>
      </c>
      <c r="H43" s="69">
        <f t="shared" si="14"/>
        <v>3698.7860000000001</v>
      </c>
      <c r="I43" s="70">
        <f t="shared" si="16"/>
        <v>1500</v>
      </c>
      <c r="J43" s="82">
        <f t="shared" si="15"/>
        <v>5548179</v>
      </c>
    </row>
    <row r="44" spans="1:10" ht="15.75" x14ac:dyDescent="0.25">
      <c r="A44" s="81" t="s">
        <v>91</v>
      </c>
      <c r="B44" s="67" t="s">
        <v>130</v>
      </c>
      <c r="C44" s="68" t="s">
        <v>85</v>
      </c>
      <c r="D44" s="266"/>
      <c r="E44" s="68">
        <f t="shared" si="12"/>
        <v>1820</v>
      </c>
      <c r="F44" s="78">
        <f t="shared" si="17"/>
        <v>55.146000000000001</v>
      </c>
      <c r="G44" s="78">
        <f t="shared" si="13"/>
        <v>54.6</v>
      </c>
      <c r="H44" s="69">
        <f t="shared" si="14"/>
        <v>3638.9079999999999</v>
      </c>
      <c r="I44" s="70">
        <f t="shared" si="16"/>
        <v>1500</v>
      </c>
      <c r="J44" s="82">
        <f t="shared" si="15"/>
        <v>5458362</v>
      </c>
    </row>
    <row r="45" spans="1:10" ht="15.75" x14ac:dyDescent="0.25">
      <c r="A45" s="81" t="s">
        <v>92</v>
      </c>
      <c r="B45" s="67" t="s">
        <v>130</v>
      </c>
      <c r="C45" s="68" t="s">
        <v>85</v>
      </c>
      <c r="D45" s="266"/>
      <c r="E45" s="68">
        <f t="shared" si="12"/>
        <v>1437.8</v>
      </c>
      <c r="F45" s="78">
        <f t="shared" si="17"/>
        <v>54.6</v>
      </c>
      <c r="G45" s="78">
        <f t="shared" si="13"/>
        <v>43.134</v>
      </c>
      <c r="H45" s="69">
        <f t="shared" si="14"/>
        <v>2852.6680000000001</v>
      </c>
      <c r="I45" s="70">
        <f t="shared" si="16"/>
        <v>1500</v>
      </c>
      <c r="J45" s="82">
        <f t="shared" si="15"/>
        <v>4279002</v>
      </c>
    </row>
    <row r="46" spans="1:10" ht="15.75" x14ac:dyDescent="0.25">
      <c r="A46" s="81" t="s">
        <v>93</v>
      </c>
      <c r="B46" s="67" t="s">
        <v>130</v>
      </c>
      <c r="C46" s="68" t="s">
        <v>85</v>
      </c>
      <c r="D46" s="266"/>
      <c r="E46" s="68">
        <f t="shared" si="12"/>
        <v>1264.9000000000003</v>
      </c>
      <c r="F46" s="78">
        <f t="shared" si="17"/>
        <v>43.134</v>
      </c>
      <c r="G46" s="78">
        <f t="shared" si="13"/>
        <v>37.94700000000001</v>
      </c>
      <c r="H46" s="69">
        <f t="shared" si="14"/>
        <v>2519.4260000000008</v>
      </c>
      <c r="I46" s="70">
        <f t="shared" si="16"/>
        <v>1500</v>
      </c>
      <c r="J46" s="82">
        <f t="shared" si="15"/>
        <v>3779139.0000000014</v>
      </c>
    </row>
    <row r="47" spans="1:10" ht="15.75" x14ac:dyDescent="0.25">
      <c r="A47" s="81" t="s">
        <v>94</v>
      </c>
      <c r="B47" s="67" t="s">
        <v>130</v>
      </c>
      <c r="C47" s="68" t="s">
        <v>85</v>
      </c>
      <c r="D47" s="266"/>
      <c r="E47" s="68">
        <f t="shared" si="12"/>
        <v>1465.1</v>
      </c>
      <c r="F47" s="78">
        <f t="shared" si="17"/>
        <v>37.94700000000001</v>
      </c>
      <c r="G47" s="78">
        <f t="shared" si="13"/>
        <v>43.952999999999996</v>
      </c>
      <c r="H47" s="69">
        <f t="shared" si="14"/>
        <v>2942.2119999999995</v>
      </c>
      <c r="I47" s="70">
        <f t="shared" si="16"/>
        <v>1500</v>
      </c>
      <c r="J47" s="82">
        <f t="shared" si="15"/>
        <v>4413317.9999999991</v>
      </c>
    </row>
    <row r="48" spans="1:10" ht="15.75" x14ac:dyDescent="0.25">
      <c r="A48" s="81" t="s">
        <v>95</v>
      </c>
      <c r="B48" s="67" t="s">
        <v>130</v>
      </c>
      <c r="C48" s="68" t="s">
        <v>85</v>
      </c>
      <c r="D48" s="266"/>
      <c r="E48" s="68">
        <f t="shared" si="12"/>
        <v>2220.3999999999996</v>
      </c>
      <c r="F48" s="78">
        <f t="shared" si="17"/>
        <v>43.952999999999996</v>
      </c>
      <c r="G48" s="78">
        <f t="shared" si="13"/>
        <v>66.611999999999981</v>
      </c>
      <c r="H48" s="69">
        <f t="shared" si="14"/>
        <v>4486.1179999999995</v>
      </c>
      <c r="I48" s="70">
        <f t="shared" si="16"/>
        <v>1500</v>
      </c>
      <c r="J48" s="82">
        <f t="shared" si="15"/>
        <v>6729176.9999999991</v>
      </c>
    </row>
    <row r="49" spans="1:10" ht="15.75" x14ac:dyDescent="0.25">
      <c r="A49" s="81" t="s">
        <v>96</v>
      </c>
      <c r="B49" s="67" t="s">
        <v>130</v>
      </c>
      <c r="C49" s="68" t="s">
        <v>85</v>
      </c>
      <c r="D49" s="266"/>
      <c r="E49" s="68">
        <f t="shared" si="12"/>
        <v>2757.3</v>
      </c>
      <c r="F49" s="78">
        <f t="shared" si="17"/>
        <v>66.611999999999981</v>
      </c>
      <c r="G49" s="78">
        <f t="shared" si="13"/>
        <v>82.719000000000008</v>
      </c>
      <c r="H49" s="69">
        <f t="shared" si="14"/>
        <v>5546.8140000000003</v>
      </c>
      <c r="I49" s="70">
        <f t="shared" si="16"/>
        <v>1500</v>
      </c>
      <c r="J49" s="82">
        <f t="shared" si="15"/>
        <v>8320221</v>
      </c>
    </row>
    <row r="50" spans="1:10" ht="15.75" x14ac:dyDescent="0.25">
      <c r="A50" s="81" t="s">
        <v>97</v>
      </c>
      <c r="B50" s="67" t="s">
        <v>130</v>
      </c>
      <c r="C50" s="68" t="s">
        <v>85</v>
      </c>
      <c r="D50" s="267"/>
      <c r="E50" s="68">
        <f t="shared" si="12"/>
        <v>1073.5</v>
      </c>
      <c r="F50" s="78">
        <f t="shared" si="17"/>
        <v>82.719000000000008</v>
      </c>
      <c r="G50" s="78">
        <f>+E50*5%</f>
        <v>53.675000000000004</v>
      </c>
      <c r="H50" s="69">
        <f t="shared" si="14"/>
        <v>2088.9119999999998</v>
      </c>
      <c r="I50" s="70">
        <f t="shared" si="16"/>
        <v>1500</v>
      </c>
      <c r="J50" s="82">
        <f t="shared" si="15"/>
        <v>3133367.9999999995</v>
      </c>
    </row>
    <row r="51" spans="1:10" ht="18.75" x14ac:dyDescent="0.3">
      <c r="A51" s="251" t="s">
        <v>136</v>
      </c>
      <c r="B51" s="252"/>
      <c r="C51" s="252"/>
      <c r="D51" s="252"/>
      <c r="E51" s="252"/>
      <c r="F51" s="252"/>
      <c r="G51" s="252"/>
      <c r="H51" s="252"/>
      <c r="I51" s="252"/>
      <c r="J51" s="84">
        <f>SUM(J39:J50)</f>
        <v>55090200</v>
      </c>
    </row>
    <row r="52" spans="1:10" x14ac:dyDescent="0.25">
      <c r="A52" s="71"/>
      <c r="J52" s="85"/>
    </row>
    <row r="53" spans="1:10" ht="28.5" x14ac:dyDescent="0.25">
      <c r="A53" s="256" t="str">
        <f>+'Ficha técnica'!B17</f>
        <v>Elástico termosellable</v>
      </c>
      <c r="B53" s="257"/>
      <c r="C53" s="257"/>
      <c r="D53" s="257"/>
      <c r="E53" s="257"/>
      <c r="F53" s="257"/>
      <c r="G53" s="257"/>
      <c r="H53" s="257"/>
      <c r="I53" s="257"/>
      <c r="J53" s="258"/>
    </row>
    <row r="54" spans="1:10" ht="15" customHeight="1" x14ac:dyDescent="0.25">
      <c r="A54" s="247" t="s">
        <v>81</v>
      </c>
      <c r="B54" s="248" t="s">
        <v>82</v>
      </c>
      <c r="C54" s="245" t="s">
        <v>98</v>
      </c>
      <c r="D54" s="245" t="s">
        <v>99</v>
      </c>
      <c r="E54" s="245" t="s">
        <v>100</v>
      </c>
      <c r="F54" s="245" t="s">
        <v>101</v>
      </c>
      <c r="G54" s="245" t="s">
        <v>102</v>
      </c>
      <c r="H54" s="245" t="s">
        <v>103</v>
      </c>
      <c r="I54" s="245" t="s">
        <v>104</v>
      </c>
      <c r="J54" s="249" t="s">
        <v>105</v>
      </c>
    </row>
    <row r="55" spans="1:10" ht="15" customHeight="1" x14ac:dyDescent="0.25">
      <c r="A55" s="247"/>
      <c r="B55" s="248"/>
      <c r="C55" s="246"/>
      <c r="D55" s="246"/>
      <c r="E55" s="246"/>
      <c r="F55" s="246"/>
      <c r="G55" s="246" t="s">
        <v>83</v>
      </c>
      <c r="H55" s="246"/>
      <c r="I55" s="246"/>
      <c r="J55" s="250"/>
    </row>
    <row r="56" spans="1:10" ht="15.75" x14ac:dyDescent="0.25">
      <c r="A56" s="81" t="s">
        <v>84</v>
      </c>
      <c r="B56" s="67" t="s">
        <v>131</v>
      </c>
      <c r="C56" s="68" t="s">
        <v>85</v>
      </c>
      <c r="D56" s="265">
        <f>+'Ficha técnica'!E17</f>
        <v>1</v>
      </c>
      <c r="E56" s="68">
        <f>+E39</f>
        <v>805.5</v>
      </c>
      <c r="F56" s="78">
        <f>+E56*5%</f>
        <v>40.275000000000006</v>
      </c>
      <c r="G56" s="78">
        <f>+E56*5%</f>
        <v>40.275000000000006</v>
      </c>
      <c r="H56" s="69">
        <f>$D$56*(E56-F56+G56)</f>
        <v>805.5</v>
      </c>
      <c r="I56" s="70">
        <f>+'Ficha técnica'!$H$17</f>
        <v>1000</v>
      </c>
      <c r="J56" s="82">
        <f>+H56*I56</f>
        <v>805500</v>
      </c>
    </row>
    <row r="57" spans="1:10" ht="15.75" x14ac:dyDescent="0.25">
      <c r="A57" s="81" t="s">
        <v>86</v>
      </c>
      <c r="B57" s="67" t="s">
        <v>131</v>
      </c>
      <c r="C57" s="68" t="s">
        <v>85</v>
      </c>
      <c r="D57" s="266"/>
      <c r="E57" s="68">
        <f t="shared" ref="E57:E67" si="18">+E40</f>
        <v>910</v>
      </c>
      <c r="F57" s="78">
        <f>+G56</f>
        <v>40.275000000000006</v>
      </c>
      <c r="G57" s="78">
        <f t="shared" ref="G57:G67" si="19">+E57*5%</f>
        <v>45.5</v>
      </c>
      <c r="H57" s="69">
        <f t="shared" ref="H57:H67" si="20">$D$56*(E57-F57+G57)</f>
        <v>915.22500000000002</v>
      </c>
      <c r="I57" s="70">
        <f>+I56</f>
        <v>1000</v>
      </c>
      <c r="J57" s="82">
        <f t="shared" ref="J57:J67" si="21">+H57*I57</f>
        <v>915225</v>
      </c>
    </row>
    <row r="58" spans="1:10" ht="15.75" x14ac:dyDescent="0.25">
      <c r="A58" s="81" t="s">
        <v>87</v>
      </c>
      <c r="B58" s="67" t="s">
        <v>131</v>
      </c>
      <c r="C58" s="68" t="s">
        <v>85</v>
      </c>
      <c r="D58" s="266"/>
      <c r="E58" s="68">
        <f t="shared" si="18"/>
        <v>1292.2000000000003</v>
      </c>
      <c r="F58" s="78">
        <f>+G57</f>
        <v>45.5</v>
      </c>
      <c r="G58" s="78">
        <f t="shared" si="19"/>
        <v>64.610000000000014</v>
      </c>
      <c r="H58" s="69">
        <f t="shared" si="20"/>
        <v>1311.3100000000004</v>
      </c>
      <c r="I58" s="70">
        <f t="shared" ref="I58:I67" si="22">+I57</f>
        <v>1000</v>
      </c>
      <c r="J58" s="82">
        <f t="shared" si="21"/>
        <v>1311310.0000000005</v>
      </c>
    </row>
    <row r="59" spans="1:10" ht="15.75" x14ac:dyDescent="0.25">
      <c r="A59" s="81" t="s">
        <v>89</v>
      </c>
      <c r="B59" s="67" t="s">
        <v>131</v>
      </c>
      <c r="C59" s="68" t="s">
        <v>85</v>
      </c>
      <c r="D59" s="266"/>
      <c r="E59" s="68">
        <f t="shared" si="18"/>
        <v>1465.1</v>
      </c>
      <c r="F59" s="78">
        <f t="shared" ref="F59:F67" si="23">+G58</f>
        <v>64.610000000000014</v>
      </c>
      <c r="G59" s="78">
        <f t="shared" si="19"/>
        <v>73.254999999999995</v>
      </c>
      <c r="H59" s="69">
        <f t="shared" si="20"/>
        <v>1473.7449999999999</v>
      </c>
      <c r="I59" s="70">
        <f t="shared" si="22"/>
        <v>1000</v>
      </c>
      <c r="J59" s="82">
        <f t="shared" si="21"/>
        <v>1473745</v>
      </c>
    </row>
    <row r="60" spans="1:10" ht="15.75" x14ac:dyDescent="0.25">
      <c r="A60" s="81" t="s">
        <v>90</v>
      </c>
      <c r="B60" s="67" t="s">
        <v>131</v>
      </c>
      <c r="C60" s="68" t="s">
        <v>85</v>
      </c>
      <c r="D60" s="266"/>
      <c r="E60" s="68">
        <f t="shared" si="18"/>
        <v>1838.2</v>
      </c>
      <c r="F60" s="78">
        <f t="shared" si="23"/>
        <v>73.254999999999995</v>
      </c>
      <c r="G60" s="78">
        <f t="shared" si="19"/>
        <v>91.910000000000011</v>
      </c>
      <c r="H60" s="69">
        <f t="shared" si="20"/>
        <v>1856.8550000000002</v>
      </c>
      <c r="I60" s="70">
        <f t="shared" si="22"/>
        <v>1000</v>
      </c>
      <c r="J60" s="82">
        <f t="shared" si="21"/>
        <v>1856855.0000000002</v>
      </c>
    </row>
    <row r="61" spans="1:10" ht="15.75" x14ac:dyDescent="0.25">
      <c r="A61" s="81" t="s">
        <v>91</v>
      </c>
      <c r="B61" s="67" t="s">
        <v>131</v>
      </c>
      <c r="C61" s="68" t="s">
        <v>85</v>
      </c>
      <c r="D61" s="266"/>
      <c r="E61" s="68">
        <f t="shared" si="18"/>
        <v>1820</v>
      </c>
      <c r="F61" s="78">
        <f t="shared" si="23"/>
        <v>91.910000000000011</v>
      </c>
      <c r="G61" s="78">
        <f t="shared" si="19"/>
        <v>91</v>
      </c>
      <c r="H61" s="69">
        <f t="shared" si="20"/>
        <v>1819.09</v>
      </c>
      <c r="I61" s="70">
        <f t="shared" si="22"/>
        <v>1000</v>
      </c>
      <c r="J61" s="82">
        <f t="shared" si="21"/>
        <v>1819090</v>
      </c>
    </row>
    <row r="62" spans="1:10" ht="15.75" x14ac:dyDescent="0.25">
      <c r="A62" s="81" t="s">
        <v>92</v>
      </c>
      <c r="B62" s="67" t="s">
        <v>131</v>
      </c>
      <c r="C62" s="68" t="s">
        <v>85</v>
      </c>
      <c r="D62" s="266"/>
      <c r="E62" s="68">
        <f t="shared" si="18"/>
        <v>1437.8</v>
      </c>
      <c r="F62" s="78">
        <f t="shared" si="23"/>
        <v>91</v>
      </c>
      <c r="G62" s="78">
        <f t="shared" si="19"/>
        <v>71.89</v>
      </c>
      <c r="H62" s="69">
        <f t="shared" si="20"/>
        <v>1418.69</v>
      </c>
      <c r="I62" s="70">
        <f t="shared" si="22"/>
        <v>1000</v>
      </c>
      <c r="J62" s="82">
        <f t="shared" si="21"/>
        <v>1418690</v>
      </c>
    </row>
    <row r="63" spans="1:10" ht="15.75" x14ac:dyDescent="0.25">
      <c r="A63" s="81" t="s">
        <v>93</v>
      </c>
      <c r="B63" s="67" t="s">
        <v>131</v>
      </c>
      <c r="C63" s="68" t="s">
        <v>85</v>
      </c>
      <c r="D63" s="266"/>
      <c r="E63" s="68">
        <f t="shared" si="18"/>
        <v>1264.9000000000003</v>
      </c>
      <c r="F63" s="78">
        <f t="shared" si="23"/>
        <v>71.89</v>
      </c>
      <c r="G63" s="78">
        <f t="shared" si="19"/>
        <v>63.245000000000019</v>
      </c>
      <c r="H63" s="69">
        <f t="shared" si="20"/>
        <v>1256.2550000000003</v>
      </c>
      <c r="I63" s="70">
        <f t="shared" si="22"/>
        <v>1000</v>
      </c>
      <c r="J63" s="82">
        <f t="shared" si="21"/>
        <v>1256255.0000000002</v>
      </c>
    </row>
    <row r="64" spans="1:10" ht="15.75" x14ac:dyDescent="0.25">
      <c r="A64" s="81" t="s">
        <v>94</v>
      </c>
      <c r="B64" s="67" t="s">
        <v>131</v>
      </c>
      <c r="C64" s="68" t="s">
        <v>85</v>
      </c>
      <c r="D64" s="266"/>
      <c r="E64" s="68">
        <f t="shared" si="18"/>
        <v>1465.1</v>
      </c>
      <c r="F64" s="78">
        <f t="shared" si="23"/>
        <v>63.245000000000019</v>
      </c>
      <c r="G64" s="78">
        <f t="shared" si="19"/>
        <v>73.254999999999995</v>
      </c>
      <c r="H64" s="69">
        <f t="shared" si="20"/>
        <v>1475.1099999999997</v>
      </c>
      <c r="I64" s="70">
        <f t="shared" si="22"/>
        <v>1000</v>
      </c>
      <c r="J64" s="82">
        <f t="shared" si="21"/>
        <v>1475109.9999999998</v>
      </c>
    </row>
    <row r="65" spans="1:10" ht="15.75" x14ac:dyDescent="0.25">
      <c r="A65" s="81" t="s">
        <v>95</v>
      </c>
      <c r="B65" s="67" t="s">
        <v>131</v>
      </c>
      <c r="C65" s="68" t="s">
        <v>85</v>
      </c>
      <c r="D65" s="266"/>
      <c r="E65" s="68">
        <f t="shared" si="18"/>
        <v>2220.3999999999996</v>
      </c>
      <c r="F65" s="78">
        <f t="shared" si="23"/>
        <v>73.254999999999995</v>
      </c>
      <c r="G65" s="78">
        <f t="shared" si="19"/>
        <v>111.01999999999998</v>
      </c>
      <c r="H65" s="69">
        <f t="shared" si="20"/>
        <v>2258.1649999999995</v>
      </c>
      <c r="I65" s="70">
        <f t="shared" si="22"/>
        <v>1000</v>
      </c>
      <c r="J65" s="82">
        <f t="shared" si="21"/>
        <v>2258164.9999999995</v>
      </c>
    </row>
    <row r="66" spans="1:10" ht="15.75" x14ac:dyDescent="0.25">
      <c r="A66" s="81" t="s">
        <v>96</v>
      </c>
      <c r="B66" s="67" t="s">
        <v>131</v>
      </c>
      <c r="C66" s="68" t="s">
        <v>85</v>
      </c>
      <c r="D66" s="266"/>
      <c r="E66" s="68">
        <f t="shared" si="18"/>
        <v>2757.3</v>
      </c>
      <c r="F66" s="78">
        <f t="shared" si="23"/>
        <v>111.01999999999998</v>
      </c>
      <c r="G66" s="78">
        <f t="shared" si="19"/>
        <v>137.86500000000001</v>
      </c>
      <c r="H66" s="69">
        <f t="shared" si="20"/>
        <v>2784.1450000000004</v>
      </c>
      <c r="I66" s="70">
        <f t="shared" si="22"/>
        <v>1000</v>
      </c>
      <c r="J66" s="82">
        <f t="shared" si="21"/>
        <v>2784145.0000000005</v>
      </c>
    </row>
    <row r="67" spans="1:10" ht="15.75" x14ac:dyDescent="0.25">
      <c r="A67" s="81" t="s">
        <v>97</v>
      </c>
      <c r="B67" s="67" t="s">
        <v>131</v>
      </c>
      <c r="C67" s="68" t="s">
        <v>85</v>
      </c>
      <c r="D67" s="267"/>
      <c r="E67" s="68">
        <f t="shared" si="18"/>
        <v>1073.5</v>
      </c>
      <c r="F67" s="78">
        <f t="shared" si="23"/>
        <v>137.86500000000001</v>
      </c>
      <c r="G67" s="78">
        <f t="shared" si="19"/>
        <v>53.675000000000004</v>
      </c>
      <c r="H67" s="69">
        <f t="shared" si="20"/>
        <v>989.31</v>
      </c>
      <c r="I67" s="70">
        <f t="shared" si="22"/>
        <v>1000</v>
      </c>
      <c r="J67" s="82">
        <f t="shared" si="21"/>
        <v>989310</v>
      </c>
    </row>
    <row r="68" spans="1:10" ht="18.75" x14ac:dyDescent="0.3">
      <c r="A68" s="251" t="s">
        <v>133</v>
      </c>
      <c r="B68" s="252"/>
      <c r="C68" s="252"/>
      <c r="D68" s="252"/>
      <c r="E68" s="252"/>
      <c r="F68" s="252"/>
      <c r="G68" s="252"/>
      <c r="H68" s="252"/>
      <c r="I68" s="252"/>
      <c r="J68" s="86">
        <f>SUM(J56:J67)</f>
        <v>18363400</v>
      </c>
    </row>
    <row r="69" spans="1:10" x14ac:dyDescent="0.25">
      <c r="A69" s="71"/>
      <c r="J69" s="85"/>
    </row>
    <row r="70" spans="1:10" ht="21.75" thickBot="1" x14ac:dyDescent="0.4">
      <c r="A70" s="268" t="s">
        <v>132</v>
      </c>
      <c r="B70" s="269"/>
      <c r="C70" s="269"/>
      <c r="D70" s="269"/>
      <c r="E70" s="269"/>
      <c r="F70" s="269"/>
      <c r="G70" s="269"/>
      <c r="H70" s="269"/>
      <c r="I70" s="269"/>
      <c r="J70" s="87">
        <f>+J68+J51+J34+J17</f>
        <v>550902000</v>
      </c>
    </row>
    <row r="72" spans="1:10" x14ac:dyDescent="0.25">
      <c r="J72" s="118">
        <f>+J70*1%</f>
        <v>5509020</v>
      </c>
    </row>
  </sheetData>
  <mergeCells count="55">
    <mergeCell ref="D56:D67"/>
    <mergeCell ref="A68:I68"/>
    <mergeCell ref="A70:I70"/>
    <mergeCell ref="D39:D50"/>
    <mergeCell ref="A51:I51"/>
    <mergeCell ref="A53:J53"/>
    <mergeCell ref="A54:A55"/>
    <mergeCell ref="B54:B55"/>
    <mergeCell ref="C54:C55"/>
    <mergeCell ref="D54:D55"/>
    <mergeCell ref="E54:E55"/>
    <mergeCell ref="F54:F55"/>
    <mergeCell ref="G54:G55"/>
    <mergeCell ref="H54:H55"/>
    <mergeCell ref="I54:I55"/>
    <mergeCell ref="J54:J55"/>
    <mergeCell ref="A18:J18"/>
    <mergeCell ref="A36:J36"/>
    <mergeCell ref="A37:A38"/>
    <mergeCell ref="B37:B38"/>
    <mergeCell ref="C37:C38"/>
    <mergeCell ref="D37:D38"/>
    <mergeCell ref="E37:E38"/>
    <mergeCell ref="F37:F38"/>
    <mergeCell ref="G37:G38"/>
    <mergeCell ref="H37:H38"/>
    <mergeCell ref="I37:I38"/>
    <mergeCell ref="J37:J38"/>
    <mergeCell ref="J20:J21"/>
    <mergeCell ref="D22:D33"/>
    <mergeCell ref="A34:I34"/>
    <mergeCell ref="A19:J19"/>
    <mergeCell ref="I3:I4"/>
    <mergeCell ref="J3:J4"/>
    <mergeCell ref="A17:I17"/>
    <mergeCell ref="A1:J1"/>
    <mergeCell ref="A2:J2"/>
    <mergeCell ref="A3:A4"/>
    <mergeCell ref="B3:B4"/>
    <mergeCell ref="C3:C4"/>
    <mergeCell ref="D3:D4"/>
    <mergeCell ref="D5:D16"/>
    <mergeCell ref="E3:E4"/>
    <mergeCell ref="F3:F4"/>
    <mergeCell ref="G3:G4"/>
    <mergeCell ref="H3:H4"/>
    <mergeCell ref="F20:F21"/>
    <mergeCell ref="G20:G21"/>
    <mergeCell ref="H20:H21"/>
    <mergeCell ref="I20:I21"/>
    <mergeCell ref="A20:A21"/>
    <mergeCell ref="B20:B21"/>
    <mergeCell ref="C20:C21"/>
    <mergeCell ref="D20:D21"/>
    <mergeCell ref="E20:E21"/>
  </mergeCells>
  <phoneticPr fontId="1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C7"/>
  <sheetViews>
    <sheetView zoomScale="145" zoomScaleNormal="145" workbookViewId="0">
      <selection activeCell="D8" sqref="D8"/>
    </sheetView>
  </sheetViews>
  <sheetFormatPr baseColWidth="10" defaultColWidth="9.140625" defaultRowHeight="15" x14ac:dyDescent="0.25"/>
  <cols>
    <col min="1" max="1" width="12" customWidth="1"/>
    <col min="2" max="2" width="11.5703125" bestFit="1" customWidth="1"/>
  </cols>
  <sheetData>
    <row r="1" spans="1:3" ht="30" x14ac:dyDescent="0.25">
      <c r="A1" s="89" t="s">
        <v>137</v>
      </c>
      <c r="B1" s="89" t="s">
        <v>138</v>
      </c>
      <c r="C1" s="90"/>
    </row>
    <row r="2" spans="1:3" x14ac:dyDescent="0.25">
      <c r="A2" s="21" t="s">
        <v>139</v>
      </c>
      <c r="B2" s="75">
        <v>1</v>
      </c>
    </row>
    <row r="3" spans="1:3" x14ac:dyDescent="0.25">
      <c r="A3" s="21" t="s">
        <v>140</v>
      </c>
      <c r="B3" s="75">
        <v>1</v>
      </c>
    </row>
    <row r="4" spans="1:3" x14ac:dyDescent="0.25">
      <c r="A4" s="21" t="s">
        <v>141</v>
      </c>
      <c r="B4" s="75">
        <v>50</v>
      </c>
    </row>
    <row r="5" spans="1:3" x14ac:dyDescent="0.25">
      <c r="A5" s="21" t="s">
        <v>142</v>
      </c>
      <c r="B5" s="75">
        <v>6</v>
      </c>
    </row>
    <row r="6" spans="1:3" x14ac:dyDescent="0.25">
      <c r="A6" s="21" t="s">
        <v>143</v>
      </c>
      <c r="B6" s="75">
        <v>2</v>
      </c>
    </row>
    <row r="7" spans="1:3" x14ac:dyDescent="0.25">
      <c r="A7" s="91" t="s">
        <v>144</v>
      </c>
      <c r="B7" s="92">
        <f>SUM(B2:B6)</f>
        <v>60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S18"/>
  <sheetViews>
    <sheetView topLeftCell="L8" zoomScale="115" zoomScaleNormal="115" workbookViewId="0">
      <selection activeCell="B7" sqref="B7"/>
    </sheetView>
  </sheetViews>
  <sheetFormatPr baseColWidth="10" defaultRowHeight="15" x14ac:dyDescent="0.25"/>
  <cols>
    <col min="1" max="1" width="12.42578125" customWidth="1"/>
    <col min="2" max="2" width="12.5703125" customWidth="1"/>
    <col min="3" max="4" width="12.5703125" bestFit="1" customWidth="1"/>
    <col min="5" max="5" width="12" customWidth="1"/>
    <col min="6" max="6" width="17.140625" customWidth="1"/>
    <col min="7" max="7" width="17.42578125" bestFit="1" customWidth="1"/>
    <col min="8" max="8" width="18.5703125" bestFit="1" customWidth="1"/>
    <col min="9" max="9" width="15.140625" customWidth="1"/>
    <col min="10" max="10" width="17.42578125" bestFit="1" customWidth="1"/>
    <col min="11" max="11" width="16.42578125" bestFit="1" customWidth="1"/>
    <col min="12" max="14" width="17.42578125" bestFit="1" customWidth="1"/>
    <col min="15" max="15" width="16.42578125" bestFit="1" customWidth="1"/>
    <col min="16" max="16" width="13.85546875" customWidth="1"/>
    <col min="17" max="17" width="16.42578125" bestFit="1" customWidth="1"/>
    <col min="18" max="18" width="17.42578125" bestFit="1" customWidth="1"/>
    <col min="19" max="19" width="18.5703125" bestFit="1" customWidth="1"/>
  </cols>
  <sheetData>
    <row r="1" spans="1:19" ht="46.5" x14ac:dyDescent="0.7">
      <c r="A1" s="99" t="s">
        <v>145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</row>
    <row r="2" spans="1:19" ht="23.25" x14ac:dyDescent="0.35">
      <c r="A2" s="100" t="s">
        <v>146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</row>
    <row r="3" spans="1:19" ht="23.25" x14ac:dyDescent="0.35">
      <c r="A3" s="101" t="s">
        <v>147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</row>
    <row r="4" spans="1:19" s="106" customFormat="1" ht="33" customHeight="1" x14ac:dyDescent="0.25">
      <c r="A4" s="271" t="s">
        <v>148</v>
      </c>
      <c r="B4" s="272" t="s">
        <v>149</v>
      </c>
      <c r="C4" s="272" t="s">
        <v>150</v>
      </c>
      <c r="D4" s="272" t="s">
        <v>151</v>
      </c>
      <c r="E4" s="272" t="s">
        <v>152</v>
      </c>
      <c r="F4" s="108" t="s">
        <v>153</v>
      </c>
      <c r="G4" s="108" t="s">
        <v>154</v>
      </c>
      <c r="H4" s="108" t="s">
        <v>155</v>
      </c>
      <c r="I4" s="108" t="s">
        <v>156</v>
      </c>
      <c r="J4" s="108" t="s">
        <v>157</v>
      </c>
      <c r="K4" s="108" t="s">
        <v>158</v>
      </c>
      <c r="L4" s="108" t="s">
        <v>159</v>
      </c>
      <c r="M4" s="108" t="s">
        <v>160</v>
      </c>
      <c r="N4" s="108" t="s">
        <v>161</v>
      </c>
      <c r="O4" s="108" t="s">
        <v>162</v>
      </c>
      <c r="P4" s="108" t="s">
        <v>163</v>
      </c>
      <c r="Q4" s="108" t="s">
        <v>164</v>
      </c>
      <c r="R4" s="108" t="s">
        <v>165</v>
      </c>
      <c r="S4" s="270" t="s">
        <v>166</v>
      </c>
    </row>
    <row r="5" spans="1:19" ht="15.75" customHeight="1" x14ac:dyDescent="0.25">
      <c r="A5" s="271"/>
      <c r="B5" s="272"/>
      <c r="C5" s="272"/>
      <c r="D5" s="272" t="e">
        <f>ROUND(#REF!/60,0)</f>
        <v>#REF!</v>
      </c>
      <c r="E5" s="272"/>
      <c r="F5" s="98">
        <v>1800000</v>
      </c>
      <c r="G5" s="98">
        <v>220000</v>
      </c>
      <c r="H5" s="98">
        <f t="shared" ref="H5:H17" si="0">SUM(F5:G5)</f>
        <v>2020000</v>
      </c>
      <c r="I5" s="107">
        <v>0.04</v>
      </c>
      <c r="J5" s="107">
        <v>0.12</v>
      </c>
      <c r="K5" s="93">
        <v>2.436E-2</v>
      </c>
      <c r="L5" s="93">
        <f t="shared" ref="L5:L17" si="1">SUM(I5:K5)</f>
        <v>0.18436</v>
      </c>
      <c r="M5" s="93">
        <v>8.3299999999999999E-2</v>
      </c>
      <c r="N5" s="93">
        <v>8.3299999999999999E-2</v>
      </c>
      <c r="O5" s="107">
        <v>0.01</v>
      </c>
      <c r="P5" s="93">
        <v>4.1700000000000001E-2</v>
      </c>
      <c r="Q5" s="93">
        <v>0.03</v>
      </c>
      <c r="R5" s="93">
        <f t="shared" ref="R5:R17" si="2">SUM(M5:Q5)</f>
        <v>0.24829999999999999</v>
      </c>
      <c r="S5" s="270"/>
    </row>
    <row r="6" spans="1:19" x14ac:dyDescent="0.25">
      <c r="A6" s="21" t="s">
        <v>46</v>
      </c>
      <c r="B6" s="97">
        <f>+'Presupuesto de consumo de MPD'!E5</f>
        <v>805.5</v>
      </c>
      <c r="C6" s="23">
        <f>B6*'Procesos Top-Leggins'!$B$7</f>
        <v>48330</v>
      </c>
      <c r="D6" s="94">
        <f>C6/60</f>
        <v>805.5</v>
      </c>
      <c r="E6" s="95">
        <f>ROUND(D6/182,0)</f>
        <v>4</v>
      </c>
      <c r="F6" s="23">
        <f>+$F$5*E6</f>
        <v>7200000</v>
      </c>
      <c r="G6" s="23">
        <f>+$G$5*E6</f>
        <v>880000</v>
      </c>
      <c r="H6" s="96">
        <f t="shared" si="0"/>
        <v>8080000</v>
      </c>
      <c r="I6" s="23">
        <f>F6*$I$5</f>
        <v>288000</v>
      </c>
      <c r="J6" s="23">
        <f>F6*$J$5</f>
        <v>864000</v>
      </c>
      <c r="K6" s="23">
        <f>F6*$K$5</f>
        <v>175392</v>
      </c>
      <c r="L6" s="96">
        <f>SUM(I6:K6)</f>
        <v>1327392</v>
      </c>
      <c r="M6" s="23">
        <f>+(H6)*$M$5</f>
        <v>673064</v>
      </c>
      <c r="N6" s="23">
        <f>H6*$N$5</f>
        <v>673064</v>
      </c>
      <c r="O6" s="23">
        <f>H6*$O$5</f>
        <v>80800</v>
      </c>
      <c r="P6" s="23">
        <f>F6*$P$5</f>
        <v>300240</v>
      </c>
      <c r="Q6" s="23">
        <f>F6*$Q$5</f>
        <v>216000</v>
      </c>
      <c r="R6" s="96">
        <f>SUM(M6:Q6)</f>
        <v>1943168</v>
      </c>
      <c r="S6" s="23">
        <f>+H6+L6+R6</f>
        <v>11350560</v>
      </c>
    </row>
    <row r="7" spans="1:19" x14ac:dyDescent="0.25">
      <c r="A7" s="21" t="s">
        <v>47</v>
      </c>
      <c r="B7" s="97">
        <f>+'Presupuesto de consumo de MPD'!E6</f>
        <v>910</v>
      </c>
      <c r="C7" s="23">
        <f>B7*'Procesos Top-Leggins'!$B$7</f>
        <v>54600</v>
      </c>
      <c r="D7" s="94">
        <f t="shared" ref="D7:D17" si="3">C7/60</f>
        <v>910</v>
      </c>
      <c r="E7" s="95">
        <f t="shared" ref="E7:E17" si="4">ROUND(D7/182,0)</f>
        <v>5</v>
      </c>
      <c r="F7" s="23">
        <f t="shared" ref="F7:F17" si="5">+$F$5*E7</f>
        <v>9000000</v>
      </c>
      <c r="G7" s="23">
        <f t="shared" ref="G7:G17" si="6">+$G$5*E7</f>
        <v>1100000</v>
      </c>
      <c r="H7" s="96">
        <f t="shared" si="0"/>
        <v>10100000</v>
      </c>
      <c r="I7" s="23">
        <f t="shared" ref="I7:I17" si="7">F7*$I$5</f>
        <v>360000</v>
      </c>
      <c r="J7" s="23">
        <f t="shared" ref="J7:J17" si="8">F7*$J$5</f>
        <v>1080000</v>
      </c>
      <c r="K7" s="23">
        <f t="shared" ref="K7:K17" si="9">F7*$K$5</f>
        <v>219240</v>
      </c>
      <c r="L7" s="96">
        <f t="shared" si="1"/>
        <v>1659240</v>
      </c>
      <c r="M7" s="23">
        <f t="shared" ref="M7:M17" si="10">+(H7)*$M$5</f>
        <v>841330</v>
      </c>
      <c r="N7" s="23">
        <f t="shared" ref="N7:N17" si="11">H7*$N$5</f>
        <v>841330</v>
      </c>
      <c r="O7" s="23">
        <f t="shared" ref="O7:O17" si="12">H7*$O$5</f>
        <v>101000</v>
      </c>
      <c r="P7" s="23">
        <f t="shared" ref="P7:P17" si="13">F7*$P$5</f>
        <v>375300</v>
      </c>
      <c r="Q7" s="23">
        <f t="shared" ref="Q7:Q17" si="14">F7*$Q$5</f>
        <v>270000</v>
      </c>
      <c r="R7" s="96">
        <f t="shared" si="2"/>
        <v>2428960</v>
      </c>
      <c r="S7" s="23">
        <f t="shared" ref="S7:S17" si="15">+H7+L7+R7</f>
        <v>14188200</v>
      </c>
    </row>
    <row r="8" spans="1:19" x14ac:dyDescent="0.25">
      <c r="A8" s="21" t="s">
        <v>48</v>
      </c>
      <c r="B8" s="97">
        <f>+'Presupuesto de consumo de MPD'!E7</f>
        <v>1292.2000000000003</v>
      </c>
      <c r="C8" s="23">
        <f>B8*'Procesos Top-Leggins'!$B$7</f>
        <v>77532.000000000015</v>
      </c>
      <c r="D8" s="94">
        <f t="shared" si="3"/>
        <v>1292.2000000000003</v>
      </c>
      <c r="E8" s="95">
        <f t="shared" si="4"/>
        <v>7</v>
      </c>
      <c r="F8" s="23">
        <f t="shared" si="5"/>
        <v>12600000</v>
      </c>
      <c r="G8" s="23">
        <f t="shared" si="6"/>
        <v>1540000</v>
      </c>
      <c r="H8" s="96">
        <f t="shared" si="0"/>
        <v>14140000</v>
      </c>
      <c r="I8" s="23">
        <f t="shared" si="7"/>
        <v>504000</v>
      </c>
      <c r="J8" s="23">
        <f t="shared" si="8"/>
        <v>1512000</v>
      </c>
      <c r="K8" s="23">
        <f t="shared" si="9"/>
        <v>306936</v>
      </c>
      <c r="L8" s="96">
        <f t="shared" si="1"/>
        <v>2322936</v>
      </c>
      <c r="M8" s="23">
        <f t="shared" si="10"/>
        <v>1177862</v>
      </c>
      <c r="N8" s="23">
        <f t="shared" si="11"/>
        <v>1177862</v>
      </c>
      <c r="O8" s="23">
        <f t="shared" si="12"/>
        <v>141400</v>
      </c>
      <c r="P8" s="23">
        <f t="shared" si="13"/>
        <v>525420</v>
      </c>
      <c r="Q8" s="23">
        <f t="shared" si="14"/>
        <v>378000</v>
      </c>
      <c r="R8" s="96">
        <f t="shared" si="2"/>
        <v>3400544</v>
      </c>
      <c r="S8" s="23">
        <f t="shared" si="15"/>
        <v>19863480</v>
      </c>
    </row>
    <row r="9" spans="1:19" x14ac:dyDescent="0.25">
      <c r="A9" s="21" t="s">
        <v>49</v>
      </c>
      <c r="B9" s="97">
        <f>+'Presupuesto de consumo de MPD'!E8</f>
        <v>1465.1</v>
      </c>
      <c r="C9" s="23">
        <f>B9*'Procesos Top-Leggins'!$B$7</f>
        <v>87906</v>
      </c>
      <c r="D9" s="94">
        <f t="shared" si="3"/>
        <v>1465.1</v>
      </c>
      <c r="E9" s="95">
        <f t="shared" si="4"/>
        <v>8</v>
      </c>
      <c r="F9" s="23">
        <f t="shared" si="5"/>
        <v>14400000</v>
      </c>
      <c r="G9" s="23">
        <f t="shared" si="6"/>
        <v>1760000</v>
      </c>
      <c r="H9" s="96">
        <f t="shared" si="0"/>
        <v>16160000</v>
      </c>
      <c r="I9" s="23">
        <f t="shared" si="7"/>
        <v>576000</v>
      </c>
      <c r="J9" s="23">
        <f t="shared" si="8"/>
        <v>1728000</v>
      </c>
      <c r="K9" s="23">
        <f t="shared" si="9"/>
        <v>350784</v>
      </c>
      <c r="L9" s="96">
        <f t="shared" si="1"/>
        <v>2654784</v>
      </c>
      <c r="M9" s="23">
        <f t="shared" si="10"/>
        <v>1346128</v>
      </c>
      <c r="N9" s="23">
        <f t="shared" si="11"/>
        <v>1346128</v>
      </c>
      <c r="O9" s="23">
        <f t="shared" si="12"/>
        <v>161600</v>
      </c>
      <c r="P9" s="23">
        <f t="shared" si="13"/>
        <v>600480</v>
      </c>
      <c r="Q9" s="23">
        <f t="shared" si="14"/>
        <v>432000</v>
      </c>
      <c r="R9" s="96">
        <f t="shared" si="2"/>
        <v>3886336</v>
      </c>
      <c r="S9" s="23">
        <f t="shared" si="15"/>
        <v>22701120</v>
      </c>
    </row>
    <row r="10" spans="1:19" x14ac:dyDescent="0.25">
      <c r="A10" s="21" t="s">
        <v>50</v>
      </c>
      <c r="B10" s="97">
        <f>+'Presupuesto de consumo de MPD'!E9</f>
        <v>1838.2</v>
      </c>
      <c r="C10" s="23">
        <f>B10*'Procesos Top-Leggins'!$B$7</f>
        <v>110292</v>
      </c>
      <c r="D10" s="94">
        <f t="shared" si="3"/>
        <v>1838.2</v>
      </c>
      <c r="E10" s="95">
        <f t="shared" si="4"/>
        <v>10</v>
      </c>
      <c r="F10" s="23">
        <f t="shared" si="5"/>
        <v>18000000</v>
      </c>
      <c r="G10" s="23">
        <f t="shared" si="6"/>
        <v>2200000</v>
      </c>
      <c r="H10" s="96">
        <f t="shared" si="0"/>
        <v>20200000</v>
      </c>
      <c r="I10" s="23">
        <f t="shared" si="7"/>
        <v>720000</v>
      </c>
      <c r="J10" s="23">
        <f t="shared" si="8"/>
        <v>2160000</v>
      </c>
      <c r="K10" s="23">
        <f t="shared" si="9"/>
        <v>438480</v>
      </c>
      <c r="L10" s="96">
        <f t="shared" si="1"/>
        <v>3318480</v>
      </c>
      <c r="M10" s="23">
        <f t="shared" si="10"/>
        <v>1682660</v>
      </c>
      <c r="N10" s="23">
        <f t="shared" si="11"/>
        <v>1682660</v>
      </c>
      <c r="O10" s="23">
        <f t="shared" si="12"/>
        <v>202000</v>
      </c>
      <c r="P10" s="23">
        <f t="shared" si="13"/>
        <v>750600</v>
      </c>
      <c r="Q10" s="23">
        <f t="shared" si="14"/>
        <v>540000</v>
      </c>
      <c r="R10" s="96">
        <f t="shared" si="2"/>
        <v>4857920</v>
      </c>
      <c r="S10" s="23">
        <f t="shared" si="15"/>
        <v>28376400</v>
      </c>
    </row>
    <row r="11" spans="1:19" x14ac:dyDescent="0.25">
      <c r="A11" s="21" t="s">
        <v>51</v>
      </c>
      <c r="B11" s="97">
        <f>+'Presupuesto de consumo de MPD'!E10</f>
        <v>1820</v>
      </c>
      <c r="C11" s="23">
        <f>B11*'Procesos Top-Leggins'!$B$7</f>
        <v>109200</v>
      </c>
      <c r="D11" s="94">
        <f t="shared" si="3"/>
        <v>1820</v>
      </c>
      <c r="E11" s="95">
        <f t="shared" si="4"/>
        <v>10</v>
      </c>
      <c r="F11" s="23">
        <f t="shared" si="5"/>
        <v>18000000</v>
      </c>
      <c r="G11" s="23">
        <f t="shared" si="6"/>
        <v>2200000</v>
      </c>
      <c r="H11" s="96">
        <f t="shared" si="0"/>
        <v>20200000</v>
      </c>
      <c r="I11" s="23">
        <f t="shared" si="7"/>
        <v>720000</v>
      </c>
      <c r="J11" s="23">
        <f t="shared" si="8"/>
        <v>2160000</v>
      </c>
      <c r="K11" s="23">
        <f t="shared" si="9"/>
        <v>438480</v>
      </c>
      <c r="L11" s="96">
        <f t="shared" si="1"/>
        <v>3318480</v>
      </c>
      <c r="M11" s="23">
        <f t="shared" si="10"/>
        <v>1682660</v>
      </c>
      <c r="N11" s="23">
        <f t="shared" si="11"/>
        <v>1682660</v>
      </c>
      <c r="O11" s="23">
        <f t="shared" si="12"/>
        <v>202000</v>
      </c>
      <c r="P11" s="23">
        <f t="shared" si="13"/>
        <v>750600</v>
      </c>
      <c r="Q11" s="23">
        <f t="shared" si="14"/>
        <v>540000</v>
      </c>
      <c r="R11" s="96">
        <f t="shared" si="2"/>
        <v>4857920</v>
      </c>
      <c r="S11" s="23">
        <f t="shared" si="15"/>
        <v>28376400</v>
      </c>
    </row>
    <row r="12" spans="1:19" x14ac:dyDescent="0.25">
      <c r="A12" s="21" t="s">
        <v>52</v>
      </c>
      <c r="B12" s="97">
        <f>+'Presupuesto de consumo de MPD'!E11</f>
        <v>1437.8</v>
      </c>
      <c r="C12" s="23">
        <f>B12*'Procesos Top-Leggins'!$B$7</f>
        <v>86268</v>
      </c>
      <c r="D12" s="94">
        <f t="shared" si="3"/>
        <v>1437.8</v>
      </c>
      <c r="E12" s="95">
        <f t="shared" si="4"/>
        <v>8</v>
      </c>
      <c r="F12" s="23">
        <f t="shared" si="5"/>
        <v>14400000</v>
      </c>
      <c r="G12" s="23">
        <f t="shared" si="6"/>
        <v>1760000</v>
      </c>
      <c r="H12" s="96">
        <f t="shared" si="0"/>
        <v>16160000</v>
      </c>
      <c r="I12" s="23">
        <f t="shared" si="7"/>
        <v>576000</v>
      </c>
      <c r="J12" s="23">
        <f t="shared" si="8"/>
        <v>1728000</v>
      </c>
      <c r="K12" s="23">
        <f t="shared" si="9"/>
        <v>350784</v>
      </c>
      <c r="L12" s="96">
        <f t="shared" si="1"/>
        <v>2654784</v>
      </c>
      <c r="M12" s="23">
        <f t="shared" si="10"/>
        <v>1346128</v>
      </c>
      <c r="N12" s="23">
        <f t="shared" si="11"/>
        <v>1346128</v>
      </c>
      <c r="O12" s="23">
        <f t="shared" si="12"/>
        <v>161600</v>
      </c>
      <c r="P12" s="23">
        <f t="shared" si="13"/>
        <v>600480</v>
      </c>
      <c r="Q12" s="23">
        <f t="shared" si="14"/>
        <v>432000</v>
      </c>
      <c r="R12" s="96">
        <f t="shared" si="2"/>
        <v>3886336</v>
      </c>
      <c r="S12" s="23">
        <f t="shared" si="15"/>
        <v>22701120</v>
      </c>
    </row>
    <row r="13" spans="1:19" x14ac:dyDescent="0.25">
      <c r="A13" s="21" t="s">
        <v>53</v>
      </c>
      <c r="B13" s="97">
        <f>+'Presupuesto de consumo de MPD'!E12</f>
        <v>1264.9000000000003</v>
      </c>
      <c r="C13" s="23">
        <f>B13*'Procesos Top-Leggins'!$B$7</f>
        <v>75894.000000000015</v>
      </c>
      <c r="D13" s="94">
        <f t="shared" si="3"/>
        <v>1264.9000000000003</v>
      </c>
      <c r="E13" s="95">
        <f t="shared" si="4"/>
        <v>7</v>
      </c>
      <c r="F13" s="23">
        <f t="shared" si="5"/>
        <v>12600000</v>
      </c>
      <c r="G13" s="23">
        <f t="shared" si="6"/>
        <v>1540000</v>
      </c>
      <c r="H13" s="96">
        <f t="shared" si="0"/>
        <v>14140000</v>
      </c>
      <c r="I13" s="23">
        <f t="shared" si="7"/>
        <v>504000</v>
      </c>
      <c r="J13" s="23">
        <f t="shared" si="8"/>
        <v>1512000</v>
      </c>
      <c r="K13" s="23">
        <f t="shared" si="9"/>
        <v>306936</v>
      </c>
      <c r="L13" s="96">
        <f t="shared" si="1"/>
        <v>2322936</v>
      </c>
      <c r="M13" s="23">
        <f t="shared" si="10"/>
        <v>1177862</v>
      </c>
      <c r="N13" s="23">
        <f t="shared" si="11"/>
        <v>1177862</v>
      </c>
      <c r="O13" s="23">
        <f t="shared" si="12"/>
        <v>141400</v>
      </c>
      <c r="P13" s="23">
        <f t="shared" si="13"/>
        <v>525420</v>
      </c>
      <c r="Q13" s="23">
        <f t="shared" si="14"/>
        <v>378000</v>
      </c>
      <c r="R13" s="96">
        <f t="shared" si="2"/>
        <v>3400544</v>
      </c>
      <c r="S13" s="23">
        <f t="shared" si="15"/>
        <v>19863480</v>
      </c>
    </row>
    <row r="14" spans="1:19" x14ac:dyDescent="0.25">
      <c r="A14" s="21" t="s">
        <v>54</v>
      </c>
      <c r="B14" s="97">
        <f>+'Presupuesto de consumo de MPD'!E13</f>
        <v>1465.1</v>
      </c>
      <c r="C14" s="23">
        <f>B14*'Procesos Top-Leggins'!$B$7</f>
        <v>87906</v>
      </c>
      <c r="D14" s="94">
        <f t="shared" si="3"/>
        <v>1465.1</v>
      </c>
      <c r="E14" s="95">
        <f t="shared" si="4"/>
        <v>8</v>
      </c>
      <c r="F14" s="23">
        <f t="shared" si="5"/>
        <v>14400000</v>
      </c>
      <c r="G14" s="23">
        <f t="shared" si="6"/>
        <v>1760000</v>
      </c>
      <c r="H14" s="96">
        <f t="shared" si="0"/>
        <v>16160000</v>
      </c>
      <c r="I14" s="23">
        <f t="shared" si="7"/>
        <v>576000</v>
      </c>
      <c r="J14" s="23">
        <f t="shared" si="8"/>
        <v>1728000</v>
      </c>
      <c r="K14" s="23">
        <f t="shared" si="9"/>
        <v>350784</v>
      </c>
      <c r="L14" s="96">
        <f t="shared" si="1"/>
        <v>2654784</v>
      </c>
      <c r="M14" s="23">
        <f t="shared" si="10"/>
        <v>1346128</v>
      </c>
      <c r="N14" s="23">
        <f t="shared" si="11"/>
        <v>1346128</v>
      </c>
      <c r="O14" s="23">
        <f t="shared" si="12"/>
        <v>161600</v>
      </c>
      <c r="P14" s="23">
        <f t="shared" si="13"/>
        <v>600480</v>
      </c>
      <c r="Q14" s="23">
        <f t="shared" si="14"/>
        <v>432000</v>
      </c>
      <c r="R14" s="96">
        <f t="shared" si="2"/>
        <v>3886336</v>
      </c>
      <c r="S14" s="23">
        <f t="shared" si="15"/>
        <v>22701120</v>
      </c>
    </row>
    <row r="15" spans="1:19" x14ac:dyDescent="0.25">
      <c r="A15" s="21" t="s">
        <v>55</v>
      </c>
      <c r="B15" s="97">
        <f>+'Presupuesto de consumo de MPD'!E14</f>
        <v>2220.3999999999996</v>
      </c>
      <c r="C15" s="23">
        <f>B15*'Procesos Top-Leggins'!$B$7</f>
        <v>133223.99999999997</v>
      </c>
      <c r="D15" s="94">
        <f t="shared" si="3"/>
        <v>2220.3999999999996</v>
      </c>
      <c r="E15" s="95">
        <f t="shared" si="4"/>
        <v>12</v>
      </c>
      <c r="F15" s="23">
        <f t="shared" si="5"/>
        <v>21600000</v>
      </c>
      <c r="G15" s="23">
        <f t="shared" si="6"/>
        <v>2640000</v>
      </c>
      <c r="H15" s="96">
        <f t="shared" si="0"/>
        <v>24240000</v>
      </c>
      <c r="I15" s="23">
        <f t="shared" si="7"/>
        <v>864000</v>
      </c>
      <c r="J15" s="23">
        <f t="shared" si="8"/>
        <v>2592000</v>
      </c>
      <c r="K15" s="23">
        <f t="shared" si="9"/>
        <v>526176</v>
      </c>
      <c r="L15" s="96">
        <f t="shared" si="1"/>
        <v>3982176</v>
      </c>
      <c r="M15" s="23">
        <f t="shared" si="10"/>
        <v>2019192</v>
      </c>
      <c r="N15" s="23">
        <f t="shared" si="11"/>
        <v>2019192</v>
      </c>
      <c r="O15" s="23">
        <f t="shared" si="12"/>
        <v>242400</v>
      </c>
      <c r="P15" s="23">
        <f t="shared" si="13"/>
        <v>900720</v>
      </c>
      <c r="Q15" s="23">
        <f t="shared" si="14"/>
        <v>648000</v>
      </c>
      <c r="R15" s="96">
        <f t="shared" si="2"/>
        <v>5829504</v>
      </c>
      <c r="S15" s="23">
        <f t="shared" si="15"/>
        <v>34051680</v>
      </c>
    </row>
    <row r="16" spans="1:19" x14ac:dyDescent="0.25">
      <c r="A16" s="21" t="s">
        <v>56</v>
      </c>
      <c r="B16" s="97">
        <f>+'Presupuesto de consumo de MPD'!E15</f>
        <v>2757.3</v>
      </c>
      <c r="C16" s="23">
        <f>B16*'Procesos Top-Leggins'!$B$7</f>
        <v>165438</v>
      </c>
      <c r="D16" s="94">
        <f t="shared" si="3"/>
        <v>2757.3</v>
      </c>
      <c r="E16" s="95">
        <f t="shared" si="4"/>
        <v>15</v>
      </c>
      <c r="F16" s="23">
        <f t="shared" si="5"/>
        <v>27000000</v>
      </c>
      <c r="G16" s="23">
        <f t="shared" si="6"/>
        <v>3300000</v>
      </c>
      <c r="H16" s="96">
        <f t="shared" si="0"/>
        <v>30300000</v>
      </c>
      <c r="I16" s="23">
        <f t="shared" si="7"/>
        <v>1080000</v>
      </c>
      <c r="J16" s="23">
        <f t="shared" si="8"/>
        <v>3240000</v>
      </c>
      <c r="K16" s="23">
        <f t="shared" si="9"/>
        <v>657720</v>
      </c>
      <c r="L16" s="96">
        <f t="shared" si="1"/>
        <v>4977720</v>
      </c>
      <c r="M16" s="23">
        <f t="shared" si="10"/>
        <v>2523990</v>
      </c>
      <c r="N16" s="23">
        <f t="shared" si="11"/>
        <v>2523990</v>
      </c>
      <c r="O16" s="23">
        <f t="shared" si="12"/>
        <v>303000</v>
      </c>
      <c r="P16" s="23">
        <f t="shared" si="13"/>
        <v>1125900</v>
      </c>
      <c r="Q16" s="23">
        <f t="shared" si="14"/>
        <v>810000</v>
      </c>
      <c r="R16" s="96">
        <f t="shared" si="2"/>
        <v>7286880</v>
      </c>
      <c r="S16" s="23">
        <f t="shared" si="15"/>
        <v>42564600</v>
      </c>
    </row>
    <row r="17" spans="1:19" x14ac:dyDescent="0.25">
      <c r="A17" s="21" t="s">
        <v>57</v>
      </c>
      <c r="B17" s="97">
        <f>+'Presupuesto de consumo de MPD'!E16</f>
        <v>1073.5</v>
      </c>
      <c r="C17" s="23">
        <f>B17*'Procesos Top-Leggins'!$B$7</f>
        <v>64410</v>
      </c>
      <c r="D17" s="94">
        <f t="shared" si="3"/>
        <v>1073.5</v>
      </c>
      <c r="E17" s="95">
        <f t="shared" si="4"/>
        <v>6</v>
      </c>
      <c r="F17" s="23">
        <f t="shared" si="5"/>
        <v>10800000</v>
      </c>
      <c r="G17" s="23">
        <f t="shared" si="6"/>
        <v>1320000</v>
      </c>
      <c r="H17" s="96">
        <f t="shared" si="0"/>
        <v>12120000</v>
      </c>
      <c r="I17" s="23">
        <f t="shared" si="7"/>
        <v>432000</v>
      </c>
      <c r="J17" s="23">
        <f t="shared" si="8"/>
        <v>1296000</v>
      </c>
      <c r="K17" s="23">
        <f t="shared" si="9"/>
        <v>263088</v>
      </c>
      <c r="L17" s="96">
        <f t="shared" si="1"/>
        <v>1991088</v>
      </c>
      <c r="M17" s="23">
        <f t="shared" si="10"/>
        <v>1009596</v>
      </c>
      <c r="N17" s="23">
        <f t="shared" si="11"/>
        <v>1009596</v>
      </c>
      <c r="O17" s="23">
        <f t="shared" si="12"/>
        <v>121200</v>
      </c>
      <c r="P17" s="23">
        <f t="shared" si="13"/>
        <v>450360</v>
      </c>
      <c r="Q17" s="23">
        <f t="shared" si="14"/>
        <v>324000</v>
      </c>
      <c r="R17" s="96">
        <f t="shared" si="2"/>
        <v>2914752</v>
      </c>
      <c r="S17" s="23">
        <f t="shared" si="15"/>
        <v>17025840</v>
      </c>
    </row>
    <row r="18" spans="1:19" s="106" customFormat="1" ht="22.5" customHeight="1" x14ac:dyDescent="0.25">
      <c r="A18" s="102" t="s">
        <v>167</v>
      </c>
      <c r="B18" s="103">
        <f>+SUM(B6:B17)</f>
        <v>18350</v>
      </c>
      <c r="C18" s="103">
        <f>+SUM(C6:C17)</f>
        <v>1101000</v>
      </c>
      <c r="D18" s="103">
        <f>+SUM(D6:D17)</f>
        <v>18350</v>
      </c>
      <c r="E18" s="104">
        <f>+SUM(E6:E17)</f>
        <v>100</v>
      </c>
      <c r="F18" s="105">
        <f t="shared" ref="F18:L18" si="16">SUM(F6:F17)</f>
        <v>180000000</v>
      </c>
      <c r="G18" s="105">
        <f t="shared" si="16"/>
        <v>22000000</v>
      </c>
      <c r="H18" s="105">
        <f t="shared" si="16"/>
        <v>202000000</v>
      </c>
      <c r="I18" s="105">
        <f t="shared" si="16"/>
        <v>7200000</v>
      </c>
      <c r="J18" s="105">
        <f t="shared" si="16"/>
        <v>21600000</v>
      </c>
      <c r="K18" s="105">
        <f t="shared" si="16"/>
        <v>4384800</v>
      </c>
      <c r="L18" s="105">
        <f t="shared" si="16"/>
        <v>33184800</v>
      </c>
      <c r="M18" s="105">
        <f t="shared" ref="M18:S18" si="17">SUBTOTAL(109,M6:M17)</f>
        <v>16826600</v>
      </c>
      <c r="N18" s="105">
        <f t="shared" si="17"/>
        <v>16826600</v>
      </c>
      <c r="O18" s="105">
        <f t="shared" si="17"/>
        <v>2020000</v>
      </c>
      <c r="P18" s="105">
        <f t="shared" si="17"/>
        <v>7506000</v>
      </c>
      <c r="Q18" s="105">
        <f t="shared" si="17"/>
        <v>5400000</v>
      </c>
      <c r="R18" s="105">
        <f t="shared" si="17"/>
        <v>48579200</v>
      </c>
      <c r="S18" s="105">
        <f t="shared" si="17"/>
        <v>283764000</v>
      </c>
    </row>
  </sheetData>
  <mergeCells count="6">
    <mergeCell ref="S4:S5"/>
    <mergeCell ref="A4:A5"/>
    <mergeCell ref="B4:B5"/>
    <mergeCell ref="C4:C5"/>
    <mergeCell ref="D4:D5"/>
    <mergeCell ref="E4:E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N39"/>
  <sheetViews>
    <sheetView tabSelected="1" workbookViewId="0">
      <selection activeCell="K16" sqref="K16"/>
    </sheetView>
  </sheetViews>
  <sheetFormatPr baseColWidth="10" defaultRowHeight="15" x14ac:dyDescent="0.25"/>
  <cols>
    <col min="2" max="2" width="24.5703125" bestFit="1" customWidth="1"/>
    <col min="3" max="3" width="13.140625" bestFit="1" customWidth="1"/>
    <col min="4" max="4" width="11.5703125" bestFit="1" customWidth="1"/>
    <col min="5" max="5" width="14.140625" bestFit="1" customWidth="1"/>
    <col min="6" max="6" width="11.85546875" bestFit="1" customWidth="1"/>
    <col min="8" max="8" width="14.140625" bestFit="1" customWidth="1"/>
    <col min="9" max="9" width="16" customWidth="1"/>
    <col min="10" max="10" width="16.5703125" customWidth="1"/>
    <col min="11" max="11" width="14.7109375" customWidth="1"/>
  </cols>
  <sheetData>
    <row r="1" spans="1:14" ht="21" x14ac:dyDescent="0.35">
      <c r="A1" s="275" t="s">
        <v>168</v>
      </c>
      <c r="B1" s="275"/>
      <c r="C1" s="275"/>
      <c r="D1" s="275"/>
      <c r="E1" s="275"/>
    </row>
    <row r="2" spans="1:14" ht="15" customHeight="1" x14ac:dyDescent="0.25">
      <c r="A2" s="276" t="s">
        <v>169</v>
      </c>
      <c r="B2" s="109" t="s">
        <v>170</v>
      </c>
      <c r="C2" s="110">
        <v>5000000</v>
      </c>
      <c r="D2" s="277"/>
      <c r="E2" s="277"/>
      <c r="H2" t="s">
        <v>236</v>
      </c>
    </row>
    <row r="3" spans="1:14" x14ac:dyDescent="0.25">
      <c r="A3" s="276"/>
      <c r="B3" s="21" t="s">
        <v>171</v>
      </c>
      <c r="C3" s="23">
        <v>500000</v>
      </c>
      <c r="D3" s="277"/>
      <c r="E3" s="277"/>
      <c r="H3" s="4">
        <v>120000000</v>
      </c>
      <c r="I3" t="s">
        <v>237</v>
      </c>
      <c r="J3">
        <v>120</v>
      </c>
      <c r="K3" s="118">
        <f>+H3/J3</f>
        <v>1000000</v>
      </c>
    </row>
    <row r="4" spans="1:14" x14ac:dyDescent="0.25">
      <c r="A4" s="276"/>
      <c r="B4" s="21" t="s">
        <v>172</v>
      </c>
      <c r="C4" s="23">
        <v>3000000</v>
      </c>
      <c r="D4" s="277"/>
      <c r="E4" s="277"/>
    </row>
    <row r="5" spans="1:14" x14ac:dyDescent="0.25">
      <c r="A5" s="276"/>
      <c r="B5" s="21" t="s">
        <v>173</v>
      </c>
      <c r="C5" s="23">
        <v>1000000</v>
      </c>
      <c r="D5" s="277"/>
      <c r="E5" s="277"/>
    </row>
    <row r="6" spans="1:14" x14ac:dyDescent="0.25">
      <c r="A6" s="276"/>
      <c r="B6" s="21" t="s">
        <v>174</v>
      </c>
      <c r="C6" s="23">
        <v>1000000</v>
      </c>
      <c r="D6" s="277"/>
      <c r="E6" s="277"/>
    </row>
    <row r="7" spans="1:14" x14ac:dyDescent="0.25">
      <c r="A7" s="276"/>
      <c r="B7" s="21"/>
      <c r="C7" s="23"/>
      <c r="D7" s="277"/>
      <c r="E7" s="277"/>
    </row>
    <row r="8" spans="1:14" x14ac:dyDescent="0.25">
      <c r="A8" s="276"/>
      <c r="B8" s="49" t="s">
        <v>175</v>
      </c>
      <c r="C8" s="29">
        <f>SUM(C2:C7)</f>
        <v>10500000</v>
      </c>
      <c r="D8" s="277"/>
      <c r="E8" s="277"/>
    </row>
    <row r="9" spans="1:14" x14ac:dyDescent="0.25">
      <c r="A9" s="276"/>
      <c r="B9" s="49" t="s">
        <v>176</v>
      </c>
      <c r="C9" s="28">
        <f>J38</f>
        <v>1916667</v>
      </c>
      <c r="D9" s="277"/>
      <c r="E9" s="277"/>
    </row>
    <row r="10" spans="1:14" x14ac:dyDescent="0.25">
      <c r="A10" s="276"/>
      <c r="B10" s="42" t="s">
        <v>177</v>
      </c>
      <c r="C10" s="111">
        <f>SUM(C8:C9)</f>
        <v>12416667</v>
      </c>
      <c r="D10" s="277"/>
      <c r="E10" s="277"/>
    </row>
    <row r="11" spans="1:14" x14ac:dyDescent="0.25">
      <c r="C11" s="4"/>
      <c r="F11" t="s">
        <v>193</v>
      </c>
    </row>
    <row r="12" spans="1:14" x14ac:dyDescent="0.25">
      <c r="A12" s="276" t="s">
        <v>178</v>
      </c>
      <c r="B12" s="112" t="s">
        <v>179</v>
      </c>
      <c r="C12" s="113" t="s">
        <v>0</v>
      </c>
      <c r="D12" s="112" t="s">
        <v>180</v>
      </c>
      <c r="E12" s="112" t="s">
        <v>181</v>
      </c>
      <c r="F12" s="119">
        <v>10500000</v>
      </c>
    </row>
    <row r="13" spans="1:14" ht="21" customHeight="1" x14ac:dyDescent="0.25">
      <c r="A13" s="276"/>
      <c r="B13" s="274" t="s">
        <v>182</v>
      </c>
      <c r="C13" s="120">
        <v>2021</v>
      </c>
      <c r="D13" s="120">
        <v>12000</v>
      </c>
      <c r="E13" s="120">
        <v>9000000</v>
      </c>
      <c r="F13" t="s">
        <v>194</v>
      </c>
      <c r="G13" s="4">
        <f>D13</f>
        <v>12000</v>
      </c>
      <c r="H13" s="5">
        <f>E13</f>
        <v>9000000</v>
      </c>
      <c r="K13" s="11" t="s">
        <v>195</v>
      </c>
    </row>
    <row r="14" spans="1:14" x14ac:dyDescent="0.25">
      <c r="A14" s="276"/>
      <c r="B14" s="274"/>
      <c r="C14" s="23">
        <v>2022</v>
      </c>
      <c r="D14" s="23">
        <v>15000</v>
      </c>
      <c r="E14" s="23">
        <v>9000000</v>
      </c>
      <c r="K14" t="s">
        <v>196</v>
      </c>
      <c r="N14" t="s">
        <v>200</v>
      </c>
    </row>
    <row r="15" spans="1:14" ht="16.5" customHeight="1" x14ac:dyDescent="0.25">
      <c r="A15" s="276"/>
      <c r="B15" s="274"/>
      <c r="C15" s="23">
        <v>2023</v>
      </c>
      <c r="D15" s="23">
        <v>13000</v>
      </c>
      <c r="E15" s="23">
        <v>9000000</v>
      </c>
      <c r="F15" s="5"/>
      <c r="G15" s="5"/>
      <c r="H15" s="5"/>
      <c r="I15" s="273" t="s">
        <v>230</v>
      </c>
      <c r="J15" s="273"/>
      <c r="K15" t="s">
        <v>197</v>
      </c>
      <c r="N15" t="s">
        <v>201</v>
      </c>
    </row>
    <row r="16" spans="1:14" x14ac:dyDescent="0.25">
      <c r="A16" s="276"/>
      <c r="B16" s="274"/>
      <c r="C16" s="23">
        <v>2024</v>
      </c>
      <c r="D16" s="23">
        <v>15000</v>
      </c>
      <c r="E16" s="23">
        <v>10000000</v>
      </c>
      <c r="F16" s="5"/>
      <c r="H16" s="5"/>
      <c r="I16" s="273"/>
      <c r="J16" s="273"/>
      <c r="K16" t="s">
        <v>198</v>
      </c>
      <c r="N16" t="s">
        <v>202</v>
      </c>
    </row>
    <row r="17" spans="1:11" x14ac:dyDescent="0.25">
      <c r="A17" s="276"/>
      <c r="B17" s="274"/>
      <c r="C17" s="120">
        <v>2025</v>
      </c>
      <c r="D17" s="120">
        <v>18000</v>
      </c>
      <c r="E17" s="120">
        <v>12000000</v>
      </c>
      <c r="F17" t="s">
        <v>22</v>
      </c>
      <c r="G17" s="5">
        <f>D17</f>
        <v>18000</v>
      </c>
      <c r="H17" s="5">
        <f>E17</f>
        <v>12000000</v>
      </c>
      <c r="I17" s="6" t="s">
        <v>1</v>
      </c>
      <c r="K17" t="s">
        <v>199</v>
      </c>
    </row>
    <row r="18" spans="1:11" x14ac:dyDescent="0.25">
      <c r="A18" s="276"/>
      <c r="B18" s="278"/>
      <c r="C18" s="279"/>
      <c r="D18" s="279"/>
      <c r="E18" s="280"/>
      <c r="G18" s="5">
        <f>G17-G13</f>
        <v>6000</v>
      </c>
      <c r="H18" s="5">
        <f>H17-H13</f>
        <v>3000000</v>
      </c>
      <c r="I18" s="299">
        <f>H18/G18</f>
        <v>500</v>
      </c>
      <c r="J18" s="122">
        <v>250000</v>
      </c>
    </row>
    <row r="19" spans="1:11" x14ac:dyDescent="0.25">
      <c r="A19" s="276"/>
      <c r="B19" s="281" t="s">
        <v>183</v>
      </c>
      <c r="C19" s="120">
        <v>2021</v>
      </c>
      <c r="D19" s="120">
        <v>12000</v>
      </c>
      <c r="E19" s="120">
        <v>10000000</v>
      </c>
      <c r="F19" t="s">
        <v>194</v>
      </c>
      <c r="G19" s="121">
        <v>12000</v>
      </c>
      <c r="H19" s="121">
        <v>10000000</v>
      </c>
      <c r="J19" s="122"/>
      <c r="K19" s="11" t="s">
        <v>203</v>
      </c>
    </row>
    <row r="20" spans="1:11" x14ac:dyDescent="0.25">
      <c r="A20" s="276"/>
      <c r="B20" s="281"/>
      <c r="C20" s="23">
        <v>2022</v>
      </c>
      <c r="D20" s="23">
        <v>15000</v>
      </c>
      <c r="E20" s="23">
        <v>12000000</v>
      </c>
      <c r="J20" s="122"/>
      <c r="K20" t="s">
        <v>204</v>
      </c>
    </row>
    <row r="21" spans="1:11" x14ac:dyDescent="0.25">
      <c r="A21" s="276"/>
      <c r="B21" s="281"/>
      <c r="C21" s="23">
        <v>2023</v>
      </c>
      <c r="D21" s="23">
        <v>13000</v>
      </c>
      <c r="E21" s="23">
        <v>13000000</v>
      </c>
      <c r="F21" s="5"/>
      <c r="G21" s="5"/>
      <c r="H21" s="5"/>
      <c r="I21" s="4"/>
      <c r="J21" s="122"/>
      <c r="K21" t="s">
        <v>205</v>
      </c>
    </row>
    <row r="22" spans="1:11" x14ac:dyDescent="0.25">
      <c r="A22" s="276"/>
      <c r="B22" s="281"/>
      <c r="C22" s="23">
        <v>2024</v>
      </c>
      <c r="D22" s="23">
        <v>15000</v>
      </c>
      <c r="E22" s="23">
        <v>13000000</v>
      </c>
      <c r="F22" s="5"/>
      <c r="H22" s="5"/>
      <c r="J22" s="122"/>
      <c r="K22" t="s">
        <v>206</v>
      </c>
    </row>
    <row r="23" spans="1:11" x14ac:dyDescent="0.25">
      <c r="A23" s="276"/>
      <c r="B23" s="281"/>
      <c r="C23" s="120">
        <v>2025</v>
      </c>
      <c r="D23" s="120">
        <v>18000</v>
      </c>
      <c r="E23" s="120">
        <v>16000000</v>
      </c>
      <c r="F23" t="s">
        <v>22</v>
      </c>
      <c r="G23" s="121">
        <v>18000</v>
      </c>
      <c r="H23" s="121">
        <v>16000000</v>
      </c>
      <c r="I23" s="6" t="s">
        <v>1</v>
      </c>
      <c r="J23" s="122"/>
      <c r="K23" t="s">
        <v>207</v>
      </c>
    </row>
    <row r="24" spans="1:11" x14ac:dyDescent="0.25">
      <c r="A24" s="276"/>
      <c r="B24" s="278"/>
      <c r="C24" s="279"/>
      <c r="D24" s="279"/>
      <c r="E24" s="280"/>
      <c r="G24" s="5">
        <f>G23-G19</f>
        <v>6000</v>
      </c>
      <c r="H24" s="5">
        <f>H23-H19</f>
        <v>6000000</v>
      </c>
      <c r="I24" s="300">
        <f>H24/G24</f>
        <v>1000</v>
      </c>
      <c r="J24" s="122">
        <v>166667</v>
      </c>
    </row>
    <row r="25" spans="1:11" x14ac:dyDescent="0.25">
      <c r="A25" s="276"/>
      <c r="B25" s="281" t="s">
        <v>184</v>
      </c>
      <c r="C25" s="120">
        <v>2021</v>
      </c>
      <c r="D25" s="120">
        <v>12000</v>
      </c>
      <c r="E25" s="120">
        <v>24000000</v>
      </c>
      <c r="F25" t="s">
        <v>194</v>
      </c>
      <c r="G25" s="121">
        <v>12000</v>
      </c>
      <c r="H25" s="121">
        <v>24000000</v>
      </c>
      <c r="J25" s="122"/>
      <c r="K25" s="11" t="s">
        <v>208</v>
      </c>
    </row>
    <row r="26" spans="1:11" x14ac:dyDescent="0.25">
      <c r="A26" s="276"/>
      <c r="B26" s="281"/>
      <c r="C26" s="23">
        <v>2022</v>
      </c>
      <c r="D26" s="23">
        <v>15000</v>
      </c>
      <c r="E26" s="23">
        <v>26000000</v>
      </c>
      <c r="J26" s="122"/>
      <c r="K26" t="s">
        <v>209</v>
      </c>
    </row>
    <row r="27" spans="1:11" x14ac:dyDescent="0.25">
      <c r="A27" s="276"/>
      <c r="B27" s="281"/>
      <c r="C27" s="23">
        <v>2023</v>
      </c>
      <c r="D27" s="23">
        <v>13000</v>
      </c>
      <c r="E27" s="23">
        <v>25000000</v>
      </c>
      <c r="F27" s="5"/>
      <c r="G27" s="5"/>
      <c r="H27" s="5"/>
      <c r="I27" s="4"/>
      <c r="J27" s="122"/>
      <c r="K27" t="s">
        <v>210</v>
      </c>
    </row>
    <row r="28" spans="1:11" x14ac:dyDescent="0.25">
      <c r="A28" s="276"/>
      <c r="B28" s="281"/>
      <c r="C28" s="23">
        <v>2024</v>
      </c>
      <c r="D28" s="23">
        <v>15000</v>
      </c>
      <c r="E28" s="23">
        <v>27000000</v>
      </c>
      <c r="F28" s="5"/>
      <c r="H28" s="5"/>
      <c r="J28" s="122"/>
      <c r="K28" t="s">
        <v>211</v>
      </c>
    </row>
    <row r="29" spans="1:11" x14ac:dyDescent="0.25">
      <c r="A29" s="276"/>
      <c r="B29" s="281"/>
      <c r="C29" s="120">
        <v>2025</v>
      </c>
      <c r="D29" s="120">
        <v>18000</v>
      </c>
      <c r="E29" s="120">
        <v>30000000</v>
      </c>
      <c r="F29" t="s">
        <v>22</v>
      </c>
      <c r="G29" s="121">
        <v>18000</v>
      </c>
      <c r="H29" s="121">
        <v>30000000</v>
      </c>
      <c r="I29" s="6" t="s">
        <v>1</v>
      </c>
      <c r="J29" s="122"/>
      <c r="K29" t="s">
        <v>212</v>
      </c>
    </row>
    <row r="30" spans="1:11" x14ac:dyDescent="0.25">
      <c r="A30" s="276"/>
      <c r="B30" s="278"/>
      <c r="C30" s="279"/>
      <c r="D30" s="279"/>
      <c r="E30" s="280"/>
      <c r="G30" s="5">
        <f>G29-G25</f>
        <v>6000</v>
      </c>
      <c r="H30" s="5">
        <f>H29-H25</f>
        <v>6000000</v>
      </c>
      <c r="I30" s="300">
        <f>H30/G30</f>
        <v>1000</v>
      </c>
      <c r="J30" s="122">
        <v>1000000</v>
      </c>
    </row>
    <row r="31" spans="1:11" x14ac:dyDescent="0.25">
      <c r="A31" s="276"/>
      <c r="B31" s="274" t="s">
        <v>185</v>
      </c>
      <c r="C31" s="120">
        <v>2021</v>
      </c>
      <c r="D31" s="120">
        <v>12000</v>
      </c>
      <c r="E31" s="120">
        <v>6000000</v>
      </c>
      <c r="F31" t="s">
        <v>194</v>
      </c>
      <c r="G31" s="121">
        <v>12000</v>
      </c>
      <c r="H31" s="121">
        <v>6000000</v>
      </c>
      <c r="J31" s="122"/>
      <c r="K31" s="11" t="s">
        <v>213</v>
      </c>
    </row>
    <row r="32" spans="1:11" x14ac:dyDescent="0.25">
      <c r="A32" s="276"/>
      <c r="B32" s="274"/>
      <c r="C32" s="23">
        <v>2022</v>
      </c>
      <c r="D32" s="23">
        <v>15000</v>
      </c>
      <c r="E32" s="23">
        <v>7000000</v>
      </c>
      <c r="J32" s="122"/>
      <c r="K32" t="s">
        <v>214</v>
      </c>
    </row>
    <row r="33" spans="1:11" x14ac:dyDescent="0.25">
      <c r="A33" s="276"/>
      <c r="B33" s="274"/>
      <c r="C33" s="23">
        <v>2023</v>
      </c>
      <c r="D33" s="23">
        <v>13000</v>
      </c>
      <c r="E33" s="23">
        <v>7000000</v>
      </c>
      <c r="F33" s="5"/>
      <c r="G33" s="5"/>
      <c r="H33" s="5"/>
      <c r="I33" s="4"/>
      <c r="J33" s="122"/>
      <c r="K33" t="s">
        <v>215</v>
      </c>
    </row>
    <row r="34" spans="1:11" x14ac:dyDescent="0.25">
      <c r="A34" s="276"/>
      <c r="B34" s="274"/>
      <c r="C34" s="23">
        <v>2024</v>
      </c>
      <c r="D34" s="23">
        <v>15000</v>
      </c>
      <c r="E34" s="23">
        <v>8000000</v>
      </c>
      <c r="F34" s="5"/>
      <c r="H34" s="5"/>
      <c r="J34" s="122"/>
      <c r="K34" t="s">
        <v>216</v>
      </c>
    </row>
    <row r="35" spans="1:11" x14ac:dyDescent="0.25">
      <c r="A35" s="276"/>
      <c r="B35" s="274"/>
      <c r="C35" s="120">
        <v>2025</v>
      </c>
      <c r="D35" s="120">
        <v>18000</v>
      </c>
      <c r="E35" s="120">
        <v>12000000</v>
      </c>
      <c r="F35" t="s">
        <v>22</v>
      </c>
      <c r="G35" s="121">
        <v>18000</v>
      </c>
      <c r="H35" s="121">
        <v>12000000</v>
      </c>
      <c r="I35" s="6" t="s">
        <v>1</v>
      </c>
      <c r="J35" s="122"/>
      <c r="K35" t="s">
        <v>217</v>
      </c>
    </row>
    <row r="36" spans="1:11" x14ac:dyDescent="0.25">
      <c r="G36" s="5">
        <f>G35-G31</f>
        <v>6000</v>
      </c>
      <c r="H36" s="5">
        <f>H35-H31</f>
        <v>6000000</v>
      </c>
      <c r="I36" s="300">
        <f>H36/G36</f>
        <v>1000</v>
      </c>
      <c r="J36" s="122">
        <v>500000</v>
      </c>
    </row>
    <row r="37" spans="1:11" x14ac:dyDescent="0.25">
      <c r="B37" t="s">
        <v>186</v>
      </c>
    </row>
    <row r="38" spans="1:11" x14ac:dyDescent="0.25">
      <c r="H38" s="127" t="s">
        <v>74</v>
      </c>
      <c r="I38" s="126">
        <f>SUM(I18:I36)</f>
        <v>3500</v>
      </c>
      <c r="J38" s="126">
        <f>SUM(J18:J36)</f>
        <v>1916667</v>
      </c>
    </row>
    <row r="39" spans="1:11" x14ac:dyDescent="0.25">
      <c r="B39" t="s">
        <v>187</v>
      </c>
      <c r="E39" s="4"/>
    </row>
  </sheetData>
  <mergeCells count="12">
    <mergeCell ref="I15:J16"/>
    <mergeCell ref="B31:B35"/>
    <mergeCell ref="A1:E1"/>
    <mergeCell ref="A2:A10"/>
    <mergeCell ref="D2:E10"/>
    <mergeCell ref="A12:A35"/>
    <mergeCell ref="B13:B17"/>
    <mergeCell ref="B18:E18"/>
    <mergeCell ref="B19:B23"/>
    <mergeCell ref="B24:E24"/>
    <mergeCell ref="B25:B29"/>
    <mergeCell ref="B30:E30"/>
  </mergeCells>
  <conditionalFormatting sqref="K26:K29">
    <cfRule type="duplicateValues" dxfId="0" priority="1"/>
  </conditionalFormatting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15"/>
  <sheetViews>
    <sheetView workbookViewId="0">
      <selection activeCell="D3" sqref="D3"/>
    </sheetView>
  </sheetViews>
  <sheetFormatPr baseColWidth="10" defaultRowHeight="15" x14ac:dyDescent="0.25"/>
  <cols>
    <col min="2" max="2" width="16.5703125" bestFit="1" customWidth="1"/>
    <col min="3" max="3" width="19.42578125" bestFit="1" customWidth="1"/>
    <col min="4" max="4" width="18" bestFit="1" customWidth="1"/>
    <col min="5" max="5" width="19.42578125" bestFit="1" customWidth="1"/>
    <col min="6" max="6" width="27.85546875" bestFit="1" customWidth="1"/>
  </cols>
  <sheetData>
    <row r="1" spans="1:7" ht="23.25" x14ac:dyDescent="0.35">
      <c r="A1" s="282" t="s">
        <v>188</v>
      </c>
      <c r="B1" s="282"/>
      <c r="C1" s="282"/>
      <c r="D1" s="282"/>
      <c r="E1" s="282"/>
    </row>
    <row r="2" spans="1:7" ht="45" x14ac:dyDescent="0.25">
      <c r="A2" s="114" t="s">
        <v>81</v>
      </c>
      <c r="B2" s="114" t="s">
        <v>189</v>
      </c>
      <c r="C2" s="114" t="s">
        <v>190</v>
      </c>
      <c r="D2" s="114" t="s">
        <v>191</v>
      </c>
      <c r="E2" s="114" t="s">
        <v>192</v>
      </c>
      <c r="F2" s="123" t="s">
        <v>218</v>
      </c>
    </row>
    <row r="3" spans="1:7" x14ac:dyDescent="0.25">
      <c r="A3" s="21" t="s">
        <v>46</v>
      </c>
      <c r="B3" s="22">
        <f>+'Presupuesto MOD 2026'!B6</f>
        <v>805.5</v>
      </c>
      <c r="C3" s="24">
        <f>+'Datos Ppto de CIF'!$C$10</f>
        <v>12416667</v>
      </c>
      <c r="D3" s="23">
        <f>+B3*'Datos Ppto de CIF'!$I$38</f>
        <v>2819250</v>
      </c>
      <c r="E3" s="33">
        <f>C3+D3</f>
        <v>15235917</v>
      </c>
      <c r="F3" s="11" t="s">
        <v>219</v>
      </c>
      <c r="G3">
        <v>500</v>
      </c>
    </row>
    <row r="4" spans="1:7" x14ac:dyDescent="0.25">
      <c r="A4" s="21" t="s">
        <v>47</v>
      </c>
      <c r="B4" s="22">
        <f>+'Presupuesto MOD 2026'!B7</f>
        <v>910</v>
      </c>
      <c r="C4" s="24">
        <f>+'Datos Ppto de CIF'!$C$10</f>
        <v>12416667</v>
      </c>
      <c r="D4" s="23">
        <f>+B4*'Datos Ppto de CIF'!$I$38</f>
        <v>3185000</v>
      </c>
      <c r="E4" s="33">
        <f t="shared" ref="E4:E14" si="0">C4+D4</f>
        <v>15601667</v>
      </c>
      <c r="F4" s="11" t="s">
        <v>220</v>
      </c>
      <c r="G4">
        <v>1000</v>
      </c>
    </row>
    <row r="5" spans="1:7" x14ac:dyDescent="0.25">
      <c r="A5" s="21" t="s">
        <v>48</v>
      </c>
      <c r="B5" s="22">
        <f>+'Presupuesto MOD 2026'!B8</f>
        <v>1292.2000000000003</v>
      </c>
      <c r="C5" s="24">
        <f>+'Datos Ppto de CIF'!$C$10</f>
        <v>12416667</v>
      </c>
      <c r="D5" s="23">
        <f>+B5*'Datos Ppto de CIF'!$I$38</f>
        <v>4522700.0000000009</v>
      </c>
      <c r="E5" s="33">
        <f t="shared" si="0"/>
        <v>16939367</v>
      </c>
      <c r="F5" s="11" t="s">
        <v>221</v>
      </c>
      <c r="G5">
        <v>1000</v>
      </c>
    </row>
    <row r="6" spans="1:7" x14ac:dyDescent="0.25">
      <c r="A6" s="21" t="s">
        <v>49</v>
      </c>
      <c r="B6" s="22">
        <f>+'Presupuesto MOD 2026'!B9</f>
        <v>1465.1</v>
      </c>
      <c r="C6" s="24">
        <f>+'Datos Ppto de CIF'!$C$10</f>
        <v>12416667</v>
      </c>
      <c r="D6" s="23">
        <f>+B6*'Datos Ppto de CIF'!$I$38</f>
        <v>5127850</v>
      </c>
      <c r="E6" s="33">
        <f t="shared" si="0"/>
        <v>17544517</v>
      </c>
      <c r="F6" s="11" t="s">
        <v>222</v>
      </c>
      <c r="G6">
        <v>1000</v>
      </c>
    </row>
    <row r="7" spans="1:7" x14ac:dyDescent="0.25">
      <c r="A7" s="21" t="s">
        <v>50</v>
      </c>
      <c r="B7" s="22">
        <f>+'Presupuesto MOD 2026'!B10</f>
        <v>1838.2</v>
      </c>
      <c r="C7" s="24">
        <f>+'Datos Ppto de CIF'!$C$10</f>
        <v>12416667</v>
      </c>
      <c r="D7" s="23">
        <f>+B7*'Datos Ppto de CIF'!$I$38</f>
        <v>6433700</v>
      </c>
      <c r="E7" s="33">
        <f t="shared" si="0"/>
        <v>18850367</v>
      </c>
      <c r="F7" s="11" t="s">
        <v>223</v>
      </c>
      <c r="G7" s="11">
        <f>SUM(G3:G6)</f>
        <v>3500</v>
      </c>
    </row>
    <row r="8" spans="1:7" x14ac:dyDescent="0.25">
      <c r="A8" s="21" t="s">
        <v>51</v>
      </c>
      <c r="B8" s="22">
        <f>+'Presupuesto MOD 2026'!B11</f>
        <v>1820</v>
      </c>
      <c r="C8" s="24">
        <f>+'Datos Ppto de CIF'!$C$10</f>
        <v>12416667</v>
      </c>
      <c r="D8" s="23">
        <f>+B8*'Datos Ppto de CIF'!$I$38</f>
        <v>6370000</v>
      </c>
      <c r="E8" s="33">
        <f t="shared" si="0"/>
        <v>18786667</v>
      </c>
    </row>
    <row r="9" spans="1:7" x14ac:dyDescent="0.25">
      <c r="A9" s="21" t="s">
        <v>52</v>
      </c>
      <c r="B9" s="22">
        <f>+'Presupuesto MOD 2026'!B12</f>
        <v>1437.8</v>
      </c>
      <c r="C9" s="24">
        <f>+'Datos Ppto de CIF'!$C$10</f>
        <v>12416667</v>
      </c>
      <c r="D9" s="23">
        <f>+B9*'Datos Ppto de CIF'!$I$38</f>
        <v>5032300</v>
      </c>
      <c r="E9" s="33">
        <f t="shared" si="0"/>
        <v>17448967</v>
      </c>
      <c r="F9" t="s">
        <v>224</v>
      </c>
    </row>
    <row r="10" spans="1:7" x14ac:dyDescent="0.25">
      <c r="A10" s="21" t="s">
        <v>53</v>
      </c>
      <c r="B10" s="22">
        <f>+'Presupuesto MOD 2026'!B13</f>
        <v>1264.9000000000003</v>
      </c>
      <c r="C10" s="24">
        <f>+'Datos Ppto de CIF'!$C$10</f>
        <v>12416667</v>
      </c>
      <c r="D10" s="23">
        <f>+B10*'Datos Ppto de CIF'!$I$38</f>
        <v>4427150.0000000009</v>
      </c>
      <c r="E10" s="33">
        <f t="shared" si="0"/>
        <v>16843817</v>
      </c>
    </row>
    <row r="11" spans="1:7" x14ac:dyDescent="0.25">
      <c r="A11" s="21" t="s">
        <v>54</v>
      </c>
      <c r="B11" s="22">
        <f>+'Presupuesto MOD 2026'!B14</f>
        <v>1465.1</v>
      </c>
      <c r="C11" s="24">
        <f>+'Datos Ppto de CIF'!$C$10</f>
        <v>12416667</v>
      </c>
      <c r="D11" s="23">
        <f>+B11*'Datos Ppto de CIF'!$I$38</f>
        <v>5127850</v>
      </c>
      <c r="E11" s="33">
        <f t="shared" si="0"/>
        <v>17544517</v>
      </c>
    </row>
    <row r="12" spans="1:7" x14ac:dyDescent="0.25">
      <c r="A12" s="21" t="s">
        <v>55</v>
      </c>
      <c r="B12" s="22">
        <f>+'Presupuesto MOD 2026'!B15</f>
        <v>2220.3999999999996</v>
      </c>
      <c r="C12" s="24">
        <f>+'Datos Ppto de CIF'!$C$10</f>
        <v>12416667</v>
      </c>
      <c r="D12" s="23">
        <f>+B12*'Datos Ppto de CIF'!$I$38</f>
        <v>7771399.9999999991</v>
      </c>
      <c r="E12" s="33">
        <f t="shared" si="0"/>
        <v>20188067</v>
      </c>
    </row>
    <row r="13" spans="1:7" x14ac:dyDescent="0.25">
      <c r="A13" s="21" t="s">
        <v>56</v>
      </c>
      <c r="B13" s="22">
        <f>+'Presupuesto MOD 2026'!B16</f>
        <v>2757.3</v>
      </c>
      <c r="C13" s="24">
        <f>+'Datos Ppto de CIF'!$C$10</f>
        <v>12416667</v>
      </c>
      <c r="D13" s="23">
        <f>+B13*'Datos Ppto de CIF'!$I$38</f>
        <v>9650550</v>
      </c>
      <c r="E13" s="33">
        <f t="shared" si="0"/>
        <v>22067217</v>
      </c>
    </row>
    <row r="14" spans="1:7" x14ac:dyDescent="0.25">
      <c r="A14" s="21" t="s">
        <v>57</v>
      </c>
      <c r="B14" s="22">
        <f>+'Presupuesto MOD 2026'!B17</f>
        <v>1073.5</v>
      </c>
      <c r="C14" s="24">
        <f>+'Datos Ppto de CIF'!$C$10</f>
        <v>12416667</v>
      </c>
      <c r="D14" s="23">
        <f>+B14*'Datos Ppto de CIF'!$I$38</f>
        <v>3757250</v>
      </c>
      <c r="E14" s="33">
        <f t="shared" si="0"/>
        <v>16173917</v>
      </c>
    </row>
    <row r="15" spans="1:7" ht="18.75" x14ac:dyDescent="0.3">
      <c r="A15" s="115" t="s">
        <v>74</v>
      </c>
      <c r="B15" s="116">
        <f>SUM(B3:B14)</f>
        <v>18350</v>
      </c>
      <c r="C15" s="117">
        <f>SUM(C3:C14)</f>
        <v>149000004</v>
      </c>
      <c r="D15" s="117">
        <f>SUM(D3:D14)</f>
        <v>64225000</v>
      </c>
      <c r="E15" s="117">
        <f>SUM(E3:E14)</f>
        <v>213225004</v>
      </c>
    </row>
  </sheetData>
  <mergeCells count="1">
    <mergeCell ref="A1:E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B2:F18"/>
  <sheetViews>
    <sheetView showGridLines="0" workbookViewId="0">
      <selection activeCell="J9" sqref="J9"/>
    </sheetView>
  </sheetViews>
  <sheetFormatPr baseColWidth="10" defaultRowHeight="15" x14ac:dyDescent="0.25"/>
  <cols>
    <col min="1" max="1" width="6.42578125" customWidth="1"/>
    <col min="2" max="2" width="32" bestFit="1" customWidth="1"/>
    <col min="3" max="3" width="14.5703125" bestFit="1" customWidth="1"/>
    <col min="4" max="4" width="13" bestFit="1" customWidth="1"/>
    <col min="5" max="5" width="14.140625" bestFit="1" customWidth="1"/>
  </cols>
  <sheetData>
    <row r="2" spans="2:6" ht="21" x14ac:dyDescent="0.35">
      <c r="B2" s="234" t="s">
        <v>226</v>
      </c>
      <c r="C2" s="234"/>
      <c r="D2" s="234"/>
      <c r="E2" s="234"/>
      <c r="F2" s="234"/>
    </row>
    <row r="4" spans="2:6" x14ac:dyDescent="0.25">
      <c r="B4" s="11" t="s">
        <v>227</v>
      </c>
      <c r="C4" s="4">
        <f>'Resumen Presup de ventas'!B5</f>
        <v>18200</v>
      </c>
    </row>
    <row r="5" spans="2:6" x14ac:dyDescent="0.25">
      <c r="C5" s="4"/>
    </row>
    <row r="6" spans="2:6" x14ac:dyDescent="0.25">
      <c r="B6" s="298" t="s">
        <v>228</v>
      </c>
      <c r="C6" s="298"/>
    </row>
    <row r="7" spans="2:6" x14ac:dyDescent="0.25">
      <c r="B7" t="s">
        <v>284</v>
      </c>
      <c r="C7" s="4">
        <f>'Presupuesto de consumo de MPD'!J70</f>
        <v>550902000</v>
      </c>
    </row>
    <row r="8" spans="2:6" x14ac:dyDescent="0.25">
      <c r="B8" t="s">
        <v>285</v>
      </c>
      <c r="C8" s="4">
        <f>'Presupuesto MOD 2026'!S18</f>
        <v>283764000</v>
      </c>
    </row>
    <row r="9" spans="2:6" x14ac:dyDescent="0.25">
      <c r="B9" t="s">
        <v>283</v>
      </c>
      <c r="C9" s="4">
        <f>'Ppto de Cif'!E15</f>
        <v>213225004</v>
      </c>
    </row>
    <row r="10" spans="2:6" x14ac:dyDescent="0.25">
      <c r="B10" s="112" t="s">
        <v>181</v>
      </c>
      <c r="C10" s="297">
        <f>SUM(C7:C9)</f>
        <v>1047891004</v>
      </c>
    </row>
    <row r="12" spans="2:6" x14ac:dyDescent="0.25">
      <c r="B12" s="284" t="s">
        <v>231</v>
      </c>
      <c r="C12" s="284"/>
    </row>
    <row r="13" spans="2:6" x14ac:dyDescent="0.25">
      <c r="B13" s="283">
        <f>+C10/'Resumen Presup de ventas'!B5</f>
        <v>57576.428791208789</v>
      </c>
      <c r="C13" s="283"/>
    </row>
    <row r="15" spans="2:6" x14ac:dyDescent="0.25">
      <c r="B15" s="11" t="s">
        <v>75</v>
      </c>
      <c r="C15" s="128" t="s">
        <v>233</v>
      </c>
      <c r="D15" s="128" t="s">
        <v>234</v>
      </c>
      <c r="E15" s="128" t="s">
        <v>58</v>
      </c>
    </row>
    <row r="16" spans="2:6" x14ac:dyDescent="0.25">
      <c r="B16" s="49" t="s">
        <v>232</v>
      </c>
      <c r="C16" s="23">
        <f>'Resumen Presup de ventas'!B5</f>
        <v>18200</v>
      </c>
      <c r="D16" s="129">
        <v>105000</v>
      </c>
      <c r="E16" s="33">
        <f>C16*D16</f>
        <v>1911000000</v>
      </c>
    </row>
    <row r="17" spans="2:5" x14ac:dyDescent="0.25">
      <c r="B17" s="49" t="s">
        <v>235</v>
      </c>
      <c r="C17" s="23">
        <v>18200</v>
      </c>
      <c r="D17" s="130">
        <f>+B13</f>
        <v>57576.428791208789</v>
      </c>
      <c r="E17" s="33">
        <f>+C17*D17</f>
        <v>1047891004</v>
      </c>
    </row>
    <row r="18" spans="2:5" x14ac:dyDescent="0.25">
      <c r="C18" s="284" t="s">
        <v>229</v>
      </c>
      <c r="D18" s="284"/>
      <c r="E18" s="131">
        <f>E16-E17</f>
        <v>863108996</v>
      </c>
    </row>
  </sheetData>
  <mergeCells count="5">
    <mergeCell ref="B13:C13"/>
    <mergeCell ref="B12:C12"/>
    <mergeCell ref="C18:D18"/>
    <mergeCell ref="B2:F2"/>
    <mergeCell ref="B6:C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7A7503-6944-4C1D-83C3-8DE03508BCEF}">
  <dimension ref="A1:N13"/>
  <sheetViews>
    <sheetView topLeftCell="A3" workbookViewId="0">
      <selection sqref="A1:N1"/>
    </sheetView>
  </sheetViews>
  <sheetFormatPr baseColWidth="10" defaultRowHeight="15" x14ac:dyDescent="0.25"/>
  <cols>
    <col min="13" max="13" width="10.42578125" customWidth="1"/>
    <col min="14" max="14" width="9.42578125" customWidth="1"/>
  </cols>
  <sheetData>
    <row r="1" spans="1:14" ht="30.75" customHeight="1" x14ac:dyDescent="0.25">
      <c r="A1" s="285" t="s">
        <v>279</v>
      </c>
      <c r="B1" s="285"/>
      <c r="C1" s="285"/>
      <c r="D1" s="285"/>
      <c r="E1" s="285"/>
      <c r="F1" s="285"/>
      <c r="G1" s="285"/>
      <c r="H1" s="285"/>
      <c r="I1" s="285"/>
      <c r="J1" s="285"/>
      <c r="K1" s="285"/>
      <c r="L1" s="285"/>
      <c r="M1" s="285"/>
      <c r="N1" s="285"/>
    </row>
    <row r="2" spans="1:14" ht="42.75" customHeight="1" x14ac:dyDescent="0.25">
      <c r="A2" s="286" t="s">
        <v>278</v>
      </c>
      <c r="B2" s="286"/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286"/>
      <c r="N2" s="286"/>
    </row>
    <row r="3" spans="1:14" ht="35.25" customHeight="1" x14ac:dyDescent="0.25">
      <c r="A3" s="285" t="s">
        <v>280</v>
      </c>
      <c r="B3" s="285"/>
      <c r="C3" s="285"/>
      <c r="D3" s="285"/>
      <c r="E3" s="285"/>
      <c r="F3" s="285"/>
      <c r="G3" s="285"/>
      <c r="H3" s="285"/>
      <c r="I3" s="285"/>
      <c r="J3" s="285"/>
      <c r="K3" s="285"/>
      <c r="L3" s="285"/>
      <c r="M3" s="285"/>
      <c r="N3" s="285"/>
    </row>
    <row r="4" spans="1:14" ht="33" customHeight="1" x14ac:dyDescent="0.25">
      <c r="A4" s="274" t="s">
        <v>274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</row>
    <row r="5" spans="1:14" ht="38.25" customHeight="1" x14ac:dyDescent="0.25">
      <c r="A5" s="285" t="s">
        <v>275</v>
      </c>
      <c r="B5" s="285"/>
      <c r="C5" s="285"/>
      <c r="D5" s="285"/>
      <c r="E5" s="285"/>
      <c r="F5" s="285"/>
      <c r="G5" s="285"/>
      <c r="H5" s="285"/>
      <c r="I5" s="285"/>
      <c r="J5" s="285"/>
      <c r="K5" s="285"/>
      <c r="L5" s="285"/>
      <c r="M5" s="285"/>
      <c r="N5" s="285"/>
    </row>
    <row r="6" spans="1:14" ht="27.75" customHeight="1" x14ac:dyDescent="0.25">
      <c r="A6" s="274" t="s">
        <v>276</v>
      </c>
      <c r="B6" s="274"/>
      <c r="C6" s="274"/>
      <c r="D6" s="274"/>
      <c r="E6" s="274"/>
      <c r="F6" s="274"/>
      <c r="G6" s="274"/>
      <c r="H6" s="274"/>
      <c r="I6" s="274"/>
      <c r="J6" s="274"/>
      <c r="K6" s="274"/>
      <c r="L6" s="274"/>
      <c r="M6" s="274"/>
      <c r="N6" s="274"/>
    </row>
    <row r="7" spans="1:14" ht="53.25" customHeight="1" x14ac:dyDescent="0.25">
      <c r="A7" s="285" t="s">
        <v>277</v>
      </c>
      <c r="B7" s="285"/>
      <c r="C7" s="285"/>
      <c r="D7" s="285"/>
      <c r="E7" s="285"/>
      <c r="F7" s="285"/>
      <c r="G7" s="285"/>
      <c r="H7" s="285"/>
      <c r="I7" s="285"/>
      <c r="J7" s="285"/>
      <c r="K7" s="285"/>
      <c r="L7" s="285"/>
      <c r="M7" s="285"/>
      <c r="N7" s="285"/>
    </row>
    <row r="8" spans="1:14" x14ac:dyDescent="0.25">
      <c r="A8" s="287"/>
      <c r="B8" s="287"/>
      <c r="C8" s="287"/>
      <c r="D8" s="287"/>
      <c r="E8" s="287"/>
      <c r="F8" s="287"/>
      <c r="G8" s="287"/>
      <c r="H8" s="287"/>
      <c r="I8" s="287"/>
      <c r="J8" s="287"/>
      <c r="K8" s="287"/>
      <c r="L8" s="287"/>
      <c r="M8" s="287"/>
      <c r="N8" s="287"/>
    </row>
    <row r="9" spans="1:14" x14ac:dyDescent="0.25">
      <c r="A9" s="287"/>
      <c r="B9" s="287"/>
      <c r="C9" s="287"/>
      <c r="D9" s="287"/>
      <c r="E9" s="287"/>
      <c r="F9" s="287"/>
      <c r="G9" s="287"/>
      <c r="H9" s="287"/>
      <c r="I9" s="287"/>
      <c r="J9" s="287"/>
      <c r="K9" s="287"/>
      <c r="L9" s="287"/>
      <c r="M9" s="287"/>
      <c r="N9" s="287"/>
    </row>
    <row r="10" spans="1:14" x14ac:dyDescent="0.25">
      <c r="A10" s="287"/>
      <c r="B10" s="287"/>
      <c r="C10" s="287"/>
      <c r="D10" s="287"/>
      <c r="E10" s="287"/>
      <c r="F10" s="287"/>
      <c r="G10" s="287"/>
      <c r="H10" s="287"/>
      <c r="I10" s="287"/>
      <c r="J10" s="287"/>
      <c r="K10" s="287"/>
      <c r="L10" s="287"/>
      <c r="M10" s="287"/>
      <c r="N10" s="287"/>
    </row>
    <row r="11" spans="1:14" x14ac:dyDescent="0.25">
      <c r="A11" s="287"/>
      <c r="B11" s="287"/>
      <c r="C11" s="287"/>
      <c r="D11" s="287"/>
      <c r="E11" s="287"/>
      <c r="F11" s="287"/>
      <c r="G11" s="287"/>
      <c r="H11" s="287"/>
      <c r="I11" s="287"/>
      <c r="J11" s="287"/>
      <c r="K11" s="287"/>
      <c r="L11" s="287"/>
      <c r="M11" s="287"/>
      <c r="N11" s="287"/>
    </row>
    <row r="12" spans="1:14" x14ac:dyDescent="0.25">
      <c r="A12" s="287"/>
      <c r="B12" s="287"/>
      <c r="C12" s="287"/>
      <c r="D12" s="287"/>
      <c r="E12" s="287"/>
      <c r="F12" s="287"/>
      <c r="G12" s="287"/>
      <c r="H12" s="287"/>
      <c r="I12" s="287"/>
      <c r="J12" s="287"/>
      <c r="K12" s="287"/>
      <c r="L12" s="287"/>
      <c r="M12" s="287"/>
      <c r="N12" s="287"/>
    </row>
    <row r="13" spans="1:14" x14ac:dyDescent="0.25">
      <c r="A13" s="287"/>
      <c r="B13" s="287"/>
      <c r="C13" s="287"/>
      <c r="D13" s="287"/>
      <c r="E13" s="287"/>
      <c r="F13" s="287"/>
      <c r="G13" s="287"/>
      <c r="H13" s="287"/>
      <c r="I13" s="287"/>
      <c r="J13" s="287"/>
      <c r="K13" s="287"/>
      <c r="L13" s="287"/>
      <c r="M13" s="287"/>
      <c r="N13" s="287"/>
    </row>
  </sheetData>
  <mergeCells count="13">
    <mergeCell ref="A13:N13"/>
    <mergeCell ref="A7:N7"/>
    <mergeCell ref="A8:N8"/>
    <mergeCell ref="A9:N9"/>
    <mergeCell ref="A10:N10"/>
    <mergeCell ref="A11:N11"/>
    <mergeCell ref="A12:N12"/>
    <mergeCell ref="A6:N6"/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F00C87-7529-467C-B47D-A79FE94536D1}">
  <dimension ref="A1:M46"/>
  <sheetViews>
    <sheetView topLeftCell="A17" zoomScale="140" zoomScaleNormal="140" workbookViewId="0">
      <selection activeCell="K8" sqref="K8"/>
    </sheetView>
  </sheetViews>
  <sheetFormatPr baseColWidth="10" defaultRowHeight="15" x14ac:dyDescent="0.25"/>
  <cols>
    <col min="1" max="1" width="53.5703125" style="133" bestFit="1" customWidth="1"/>
    <col min="2" max="2" width="13.85546875" style="133" bestFit="1" customWidth="1"/>
    <col min="3" max="3" width="15.5703125" style="133" bestFit="1" customWidth="1"/>
    <col min="4" max="4" width="5.42578125" style="133" customWidth="1"/>
    <col min="5" max="5" width="13.85546875" style="133" bestFit="1" customWidth="1"/>
    <col min="6" max="6" width="15.5703125" style="133" bestFit="1" customWidth="1"/>
    <col min="7" max="7" width="5.7109375" style="133" customWidth="1"/>
    <col min="8" max="9" width="15.5703125" style="133" bestFit="1" customWidth="1"/>
    <col min="10" max="10" width="4.7109375" style="133" customWidth="1"/>
    <col min="11" max="11" width="13.85546875" style="133" bestFit="1" customWidth="1"/>
    <col min="12" max="12" width="15.42578125" style="133" bestFit="1" customWidth="1"/>
    <col min="13" max="13" width="4.42578125" style="133" customWidth="1"/>
    <col min="14" max="16384" width="11.42578125" style="133"/>
  </cols>
  <sheetData>
    <row r="1" spans="1:13" ht="18.75" x14ac:dyDescent="0.3">
      <c r="A1" s="291" t="s">
        <v>281</v>
      </c>
      <c r="B1" s="291"/>
      <c r="C1" s="291"/>
      <c r="D1" s="132"/>
    </row>
    <row r="2" spans="1:13" x14ac:dyDescent="0.25">
      <c r="A2" s="292" t="s">
        <v>238</v>
      </c>
      <c r="B2" s="292"/>
      <c r="C2" s="292"/>
      <c r="D2" s="134"/>
    </row>
    <row r="3" spans="1:13" ht="15.75" x14ac:dyDescent="0.25">
      <c r="A3" s="293" t="s">
        <v>239</v>
      </c>
      <c r="B3" s="293"/>
      <c r="C3" s="293"/>
      <c r="D3" s="135"/>
    </row>
    <row r="4" spans="1:13" x14ac:dyDescent="0.25">
      <c r="A4" s="292" t="s">
        <v>282</v>
      </c>
      <c r="B4" s="292"/>
      <c r="C4" s="292"/>
      <c r="D4" s="134"/>
    </row>
    <row r="5" spans="1:13" ht="6.75" customHeight="1" x14ac:dyDescent="0.25"/>
    <row r="6" spans="1:13" x14ac:dyDescent="0.25">
      <c r="A6" s="294" t="s">
        <v>179</v>
      </c>
      <c r="B6" s="296">
        <v>2023</v>
      </c>
      <c r="C6" s="296"/>
      <c r="D6" s="136" t="s">
        <v>240</v>
      </c>
      <c r="E6" s="288">
        <v>2024</v>
      </c>
      <c r="F6" s="288"/>
      <c r="G6" s="137" t="s">
        <v>240</v>
      </c>
      <c r="H6" s="289">
        <v>2025</v>
      </c>
      <c r="I6" s="289"/>
      <c r="J6" s="138" t="s">
        <v>240</v>
      </c>
      <c r="K6" s="290">
        <v>2026</v>
      </c>
      <c r="L6" s="290"/>
      <c r="M6" s="139" t="s">
        <v>240</v>
      </c>
    </row>
    <row r="7" spans="1:13" x14ac:dyDescent="0.25">
      <c r="A7" s="295"/>
      <c r="B7" s="136" t="s">
        <v>241</v>
      </c>
      <c r="C7" s="136" t="s">
        <v>242</v>
      </c>
      <c r="D7" s="136"/>
      <c r="E7" s="140" t="s">
        <v>243</v>
      </c>
      <c r="F7" s="137" t="s">
        <v>242</v>
      </c>
      <c r="G7" s="137"/>
      <c r="H7" s="141" t="s">
        <v>241</v>
      </c>
      <c r="I7" s="138" t="s">
        <v>242</v>
      </c>
      <c r="J7" s="138"/>
      <c r="K7" s="142" t="s">
        <v>241</v>
      </c>
      <c r="L7" s="139" t="s">
        <v>242</v>
      </c>
      <c r="M7" s="139"/>
    </row>
    <row r="8" spans="1:13" ht="15.75" x14ac:dyDescent="0.25">
      <c r="A8" s="143" t="s">
        <v>244</v>
      </c>
      <c r="B8" s="144"/>
      <c r="C8" s="145">
        <f>13000*90000</f>
        <v>1170000000</v>
      </c>
      <c r="D8" s="145"/>
      <c r="E8" s="146"/>
      <c r="F8" s="147">
        <f>15000*95000</f>
        <v>1425000000</v>
      </c>
      <c r="G8" s="147"/>
      <c r="H8" s="148"/>
      <c r="I8" s="149">
        <f>18000*100000</f>
        <v>1800000000</v>
      </c>
      <c r="J8" s="149"/>
      <c r="K8" s="185"/>
      <c r="L8" s="151"/>
      <c r="M8" s="151"/>
    </row>
    <row r="9" spans="1:13" ht="15.75" hidden="1" x14ac:dyDescent="0.25">
      <c r="A9" s="143" t="s">
        <v>245</v>
      </c>
      <c r="B9" s="145"/>
      <c r="C9" s="145"/>
      <c r="D9" s="145"/>
      <c r="E9" s="152"/>
      <c r="F9" s="147"/>
      <c r="G9" s="147"/>
      <c r="H9" s="153"/>
      <c r="I9" s="149"/>
      <c r="J9" s="149"/>
      <c r="K9" s="154"/>
      <c r="L9" s="151"/>
      <c r="M9" s="151"/>
    </row>
    <row r="10" spans="1:13" ht="15.75" hidden="1" x14ac:dyDescent="0.25">
      <c r="A10" s="143" t="s">
        <v>246</v>
      </c>
      <c r="B10" s="145"/>
      <c r="C10" s="145"/>
      <c r="D10" s="145"/>
      <c r="E10" s="152"/>
      <c r="F10" s="147"/>
      <c r="G10" s="147"/>
      <c r="H10" s="153"/>
      <c r="I10" s="149"/>
      <c r="J10" s="149"/>
      <c r="K10" s="154"/>
      <c r="L10" s="151"/>
      <c r="M10" s="151"/>
    </row>
    <row r="11" spans="1:13" ht="15.75" x14ac:dyDescent="0.25">
      <c r="A11" s="143" t="s">
        <v>247</v>
      </c>
      <c r="B11" s="145">
        <f>+C8*0.65</f>
        <v>760500000</v>
      </c>
      <c r="C11" s="145">
        <f>+B11</f>
        <v>760500000</v>
      </c>
      <c r="D11" s="145"/>
      <c r="E11" s="152">
        <f>+F8*0.65</f>
        <v>926250000</v>
      </c>
      <c r="F11" s="147">
        <f>+E11</f>
        <v>926250000</v>
      </c>
      <c r="G11" s="147"/>
      <c r="H11" s="153">
        <f>+I8*0.7</f>
        <v>1260000000</v>
      </c>
      <c r="I11" s="149">
        <f>+H11</f>
        <v>1260000000</v>
      </c>
      <c r="J11" s="149"/>
      <c r="K11" s="178"/>
      <c r="L11" s="151">
        <f>+K11</f>
        <v>0</v>
      </c>
      <c r="M11" s="151"/>
    </row>
    <row r="12" spans="1:13" ht="15.75" x14ac:dyDescent="0.25">
      <c r="A12" s="155" t="s">
        <v>248</v>
      </c>
      <c r="B12" s="156"/>
      <c r="C12" s="156">
        <f>C8-B11</f>
        <v>409500000</v>
      </c>
      <c r="D12" s="156"/>
      <c r="E12" s="157"/>
      <c r="F12" s="158">
        <f>F8-E11</f>
        <v>498750000</v>
      </c>
      <c r="G12" s="158"/>
      <c r="H12" s="159"/>
      <c r="I12" s="160">
        <f>I8-H11</f>
        <v>540000000</v>
      </c>
      <c r="J12" s="160"/>
      <c r="K12" s="161"/>
      <c r="L12" s="162">
        <f>L8-K11</f>
        <v>0</v>
      </c>
      <c r="M12" s="162"/>
    </row>
    <row r="13" spans="1:13" ht="15.75" x14ac:dyDescent="0.25">
      <c r="A13" s="143" t="s">
        <v>249</v>
      </c>
      <c r="B13" s="145"/>
      <c r="C13" s="145">
        <f>+B14</f>
        <v>3800000</v>
      </c>
      <c r="D13" s="145"/>
      <c r="E13" s="152"/>
      <c r="F13" s="147">
        <f>+E14</f>
        <v>4500000</v>
      </c>
      <c r="G13" s="147"/>
      <c r="H13" s="153"/>
      <c r="I13" s="149">
        <f>+H14</f>
        <v>4900000</v>
      </c>
      <c r="J13" s="149"/>
      <c r="K13" s="154"/>
      <c r="L13" s="151">
        <f>+K14</f>
        <v>0</v>
      </c>
      <c r="M13" s="151"/>
    </row>
    <row r="14" spans="1:13" ht="15.75" x14ac:dyDescent="0.25">
      <c r="A14" s="143" t="s">
        <v>250</v>
      </c>
      <c r="B14" s="145">
        <v>3800000</v>
      </c>
      <c r="C14" s="145"/>
      <c r="D14" s="145"/>
      <c r="E14" s="152">
        <v>4500000</v>
      </c>
      <c r="F14" s="147"/>
      <c r="G14" s="147"/>
      <c r="H14" s="153">
        <v>4900000</v>
      </c>
      <c r="I14" s="149"/>
      <c r="J14" s="149"/>
      <c r="K14" s="178"/>
      <c r="L14" s="151"/>
      <c r="M14" s="151"/>
    </row>
    <row r="15" spans="1:13" ht="15.75" x14ac:dyDescent="0.25">
      <c r="A15" s="143" t="s">
        <v>251</v>
      </c>
      <c r="B15" s="145"/>
      <c r="C15" s="145">
        <f>-B16</f>
        <v>-11700000</v>
      </c>
      <c r="D15" s="145"/>
      <c r="E15" s="152"/>
      <c r="F15" s="147">
        <f>-E16</f>
        <v>-14250000</v>
      </c>
      <c r="G15" s="147"/>
      <c r="H15" s="149"/>
      <c r="I15" s="149">
        <f>-H16</f>
        <v>-18000000</v>
      </c>
      <c r="J15" s="149"/>
      <c r="K15" s="154"/>
      <c r="L15" s="151">
        <f>-K16</f>
        <v>0</v>
      </c>
      <c r="M15" s="151"/>
    </row>
    <row r="16" spans="1:13" ht="15.75" x14ac:dyDescent="0.25">
      <c r="A16" s="143" t="s">
        <v>252</v>
      </c>
      <c r="B16" s="145">
        <v>11700000</v>
      </c>
      <c r="C16" s="145"/>
      <c r="D16" s="145"/>
      <c r="E16" s="152">
        <v>14250000</v>
      </c>
      <c r="F16" s="147"/>
      <c r="G16" s="147"/>
      <c r="H16" s="153">
        <v>18000000</v>
      </c>
      <c r="I16" s="149"/>
      <c r="J16" s="149"/>
      <c r="K16" s="178"/>
      <c r="L16" s="151"/>
      <c r="M16" s="151"/>
    </row>
    <row r="17" spans="1:13" ht="15.75" x14ac:dyDescent="0.25">
      <c r="A17" s="155" t="s">
        <v>253</v>
      </c>
      <c r="B17" s="156"/>
      <c r="C17" s="156">
        <f>+B18+B26</f>
        <v>331410000</v>
      </c>
      <c r="D17" s="156"/>
      <c r="E17" s="157"/>
      <c r="F17" s="158">
        <f>+E18+E26</f>
        <v>372900000</v>
      </c>
      <c r="G17" s="158"/>
      <c r="H17" s="159"/>
      <c r="I17" s="160">
        <f>+H18+H26</f>
        <v>412280000</v>
      </c>
      <c r="J17" s="160"/>
      <c r="K17" s="161"/>
      <c r="L17" s="162">
        <f>+K18+K26</f>
        <v>0</v>
      </c>
      <c r="M17" s="162"/>
    </row>
    <row r="18" spans="1:13" ht="15.75" x14ac:dyDescent="0.25">
      <c r="A18" s="163" t="s">
        <v>254</v>
      </c>
      <c r="B18" s="164">
        <f>SUM(B19:B25)</f>
        <v>239900000</v>
      </c>
      <c r="C18" s="145"/>
      <c r="D18" s="145"/>
      <c r="E18" s="165">
        <f>SUM(E19:E25)</f>
        <v>255100000</v>
      </c>
      <c r="F18" s="147"/>
      <c r="G18" s="147"/>
      <c r="H18" s="166">
        <f>SUM(H19:H25)</f>
        <v>282700000</v>
      </c>
      <c r="I18" s="149"/>
      <c r="J18" s="149"/>
      <c r="K18" s="167">
        <f>SUM(K19:K25)</f>
        <v>0</v>
      </c>
      <c r="L18" s="151"/>
      <c r="M18" s="151"/>
    </row>
    <row r="19" spans="1:13" ht="15.75" x14ac:dyDescent="0.25">
      <c r="A19" s="143" t="s">
        <v>255</v>
      </c>
      <c r="B19" s="145">
        <v>85000000</v>
      </c>
      <c r="C19" s="145"/>
      <c r="D19" s="145"/>
      <c r="E19" s="152">
        <v>93000000</v>
      </c>
      <c r="F19" s="147"/>
      <c r="G19" s="147"/>
      <c r="H19" s="153">
        <v>102300000</v>
      </c>
      <c r="I19" s="149"/>
      <c r="J19" s="149"/>
      <c r="K19" s="178"/>
      <c r="L19" s="151"/>
      <c r="M19" s="151"/>
    </row>
    <row r="20" spans="1:13" ht="15.75" x14ac:dyDescent="0.25">
      <c r="A20" s="143" t="s">
        <v>256</v>
      </c>
      <c r="B20" s="145">
        <v>15000000</v>
      </c>
      <c r="C20" s="145"/>
      <c r="D20" s="145"/>
      <c r="E20" s="152">
        <v>12000000</v>
      </c>
      <c r="F20" s="147"/>
      <c r="G20" s="147"/>
      <c r="H20" s="153">
        <v>13200000</v>
      </c>
      <c r="I20" s="149"/>
      <c r="J20" s="149"/>
      <c r="K20" s="178"/>
      <c r="L20" s="151"/>
      <c r="M20" s="151"/>
    </row>
    <row r="21" spans="1:13" ht="15.75" x14ac:dyDescent="0.25">
      <c r="A21" s="143" t="s">
        <v>257</v>
      </c>
      <c r="B21" s="145">
        <v>54000000</v>
      </c>
      <c r="C21" s="145"/>
      <c r="D21" s="145"/>
      <c r="E21" s="152">
        <v>60000000</v>
      </c>
      <c r="F21" s="147"/>
      <c r="G21" s="147"/>
      <c r="H21" s="153">
        <v>66000000</v>
      </c>
      <c r="I21" s="149"/>
      <c r="J21" s="149"/>
      <c r="K21" s="178"/>
      <c r="L21" s="151"/>
      <c r="M21" s="151"/>
    </row>
    <row r="22" spans="1:13" ht="15.75" x14ac:dyDescent="0.25">
      <c r="A22" s="143" t="s">
        <v>258</v>
      </c>
      <c r="B22" s="145">
        <v>35900000</v>
      </c>
      <c r="C22" s="145"/>
      <c r="D22" s="145"/>
      <c r="E22" s="152">
        <v>38000000</v>
      </c>
      <c r="F22" s="147"/>
      <c r="G22" s="147"/>
      <c r="H22" s="153">
        <v>41800000</v>
      </c>
      <c r="I22" s="149"/>
      <c r="J22" s="149"/>
      <c r="K22" s="178"/>
      <c r="L22" s="151"/>
      <c r="M22" s="151"/>
    </row>
    <row r="23" spans="1:13" ht="15.75" x14ac:dyDescent="0.25">
      <c r="A23" s="143" t="s">
        <v>171</v>
      </c>
      <c r="B23" s="145">
        <v>24000000</v>
      </c>
      <c r="C23" s="145"/>
      <c r="D23" s="145"/>
      <c r="E23" s="152">
        <v>28600000</v>
      </c>
      <c r="F23" s="147"/>
      <c r="G23" s="147"/>
      <c r="H23" s="153">
        <v>31400000</v>
      </c>
      <c r="I23" s="149"/>
      <c r="J23" s="149"/>
      <c r="K23" s="178"/>
      <c r="L23" s="151"/>
      <c r="M23" s="151"/>
    </row>
    <row r="24" spans="1:13" ht="15.75" x14ac:dyDescent="0.25">
      <c r="A24" s="143" t="s">
        <v>213</v>
      </c>
      <c r="B24" s="145">
        <v>18000000</v>
      </c>
      <c r="C24" s="145"/>
      <c r="D24" s="145"/>
      <c r="E24" s="152">
        <v>17000000</v>
      </c>
      <c r="F24" s="147"/>
      <c r="G24" s="147"/>
      <c r="H24" s="153">
        <v>19000000</v>
      </c>
      <c r="I24" s="149"/>
      <c r="J24" s="149"/>
      <c r="K24" s="178"/>
      <c r="L24" s="151"/>
      <c r="M24" s="151"/>
    </row>
    <row r="25" spans="1:13" ht="15.75" x14ac:dyDescent="0.25">
      <c r="A25" s="143" t="s">
        <v>259</v>
      </c>
      <c r="B25" s="145">
        <v>8000000</v>
      </c>
      <c r="C25" s="145"/>
      <c r="D25" s="145"/>
      <c r="E25" s="152">
        <v>6500000</v>
      </c>
      <c r="F25" s="147"/>
      <c r="G25" s="147"/>
      <c r="H25" s="153">
        <v>9000000</v>
      </c>
      <c r="I25" s="149"/>
      <c r="J25" s="149"/>
      <c r="K25" s="178"/>
      <c r="L25" s="151"/>
      <c r="M25" s="151"/>
    </row>
    <row r="26" spans="1:13" ht="15.75" x14ac:dyDescent="0.25">
      <c r="A26" s="163" t="s">
        <v>260</v>
      </c>
      <c r="B26" s="164">
        <f>+SUM(B27:B32)</f>
        <v>91510000</v>
      </c>
      <c r="C26" s="145"/>
      <c r="D26" s="145"/>
      <c r="E26" s="165">
        <f>+SUM(E27:E32)</f>
        <v>117800000</v>
      </c>
      <c r="F26" s="147"/>
      <c r="G26" s="147"/>
      <c r="H26" s="166">
        <f>+SUM(H27:H32)</f>
        <v>129580000</v>
      </c>
      <c r="I26" s="149"/>
      <c r="J26" s="149"/>
      <c r="K26" s="167">
        <f>+SUM(K27:K32)</f>
        <v>0</v>
      </c>
      <c r="L26" s="151"/>
      <c r="M26" s="151"/>
    </row>
    <row r="27" spans="1:13" ht="15.75" x14ac:dyDescent="0.25">
      <c r="A27" s="143" t="s">
        <v>255</v>
      </c>
      <c r="B27" s="145">
        <v>45000000</v>
      </c>
      <c r="C27" s="145"/>
      <c r="D27" s="145"/>
      <c r="E27" s="152">
        <v>55000000</v>
      </c>
      <c r="F27" s="147"/>
      <c r="G27" s="147"/>
      <c r="H27" s="153">
        <v>60500000</v>
      </c>
      <c r="I27" s="149"/>
      <c r="J27" s="149"/>
      <c r="K27" s="178"/>
      <c r="L27" s="151"/>
      <c r="M27" s="151"/>
    </row>
    <row r="28" spans="1:13" ht="15.75" x14ac:dyDescent="0.25">
      <c r="A28" s="143" t="s">
        <v>261</v>
      </c>
      <c r="B28" s="145">
        <v>8000000</v>
      </c>
      <c r="C28" s="145"/>
      <c r="D28" s="145"/>
      <c r="E28" s="152">
        <v>12000000</v>
      </c>
      <c r="F28" s="147"/>
      <c r="G28" s="147"/>
      <c r="H28" s="153">
        <v>13200000</v>
      </c>
      <c r="I28" s="149"/>
      <c r="J28" s="149"/>
      <c r="K28" s="178"/>
      <c r="L28" s="151"/>
      <c r="M28" s="151"/>
    </row>
    <row r="29" spans="1:13" ht="15.75" x14ac:dyDescent="0.25">
      <c r="A29" s="143" t="s">
        <v>257</v>
      </c>
      <c r="B29" s="145">
        <v>20110000</v>
      </c>
      <c r="C29" s="145"/>
      <c r="D29" s="145"/>
      <c r="E29" s="152">
        <v>23800000</v>
      </c>
      <c r="F29" s="147"/>
      <c r="G29" s="147"/>
      <c r="H29" s="153">
        <v>26180000</v>
      </c>
      <c r="I29" s="149"/>
      <c r="J29" s="149"/>
      <c r="K29" s="178"/>
      <c r="L29" s="151"/>
      <c r="M29" s="151"/>
    </row>
    <row r="30" spans="1:13" ht="15.75" x14ac:dyDescent="0.25">
      <c r="A30" s="143" t="s">
        <v>258</v>
      </c>
      <c r="B30" s="145">
        <v>14200000</v>
      </c>
      <c r="C30" s="145"/>
      <c r="D30" s="145"/>
      <c r="E30" s="152">
        <v>22000000</v>
      </c>
      <c r="F30" s="147"/>
      <c r="G30" s="147"/>
      <c r="H30" s="153">
        <v>24200000</v>
      </c>
      <c r="I30" s="149"/>
      <c r="J30" s="149"/>
      <c r="K30" s="178"/>
      <c r="L30" s="151"/>
      <c r="M30" s="151"/>
    </row>
    <row r="31" spans="1:13" ht="15.75" x14ac:dyDescent="0.25">
      <c r="A31" s="143" t="s">
        <v>262</v>
      </c>
      <c r="B31" s="145">
        <v>4200000</v>
      </c>
      <c r="C31" s="145"/>
      <c r="D31" s="145"/>
      <c r="E31" s="152">
        <v>5000000</v>
      </c>
      <c r="F31" s="147"/>
      <c r="G31" s="147"/>
      <c r="H31" s="153">
        <v>5500000</v>
      </c>
      <c r="I31" s="149"/>
      <c r="J31" s="149"/>
      <c r="K31" s="178"/>
      <c r="L31" s="151"/>
      <c r="M31" s="151"/>
    </row>
    <row r="32" spans="1:13" ht="15.75" x14ac:dyDescent="0.25">
      <c r="A32" s="143"/>
      <c r="B32" s="145"/>
      <c r="C32" s="145"/>
      <c r="D32" s="145"/>
      <c r="E32" s="152"/>
      <c r="F32" s="147"/>
      <c r="G32" s="147"/>
      <c r="H32" s="153"/>
      <c r="I32" s="149"/>
      <c r="J32" s="149"/>
      <c r="K32" s="154"/>
      <c r="L32" s="151"/>
      <c r="M32" s="151"/>
    </row>
    <row r="33" spans="1:13" ht="15.75" x14ac:dyDescent="0.25">
      <c r="A33" s="155" t="s">
        <v>263</v>
      </c>
      <c r="B33" s="156"/>
      <c r="C33" s="156">
        <f>+C12+C13-C15-C17</f>
        <v>93590000</v>
      </c>
      <c r="D33" s="156"/>
      <c r="E33" s="157"/>
      <c r="F33" s="158">
        <f>+F12+F13-F15-F17</f>
        <v>144600000</v>
      </c>
      <c r="G33" s="158"/>
      <c r="H33" s="159"/>
      <c r="I33" s="160">
        <f>+I12+I13-I15-I17</f>
        <v>150620000</v>
      </c>
      <c r="J33" s="160"/>
      <c r="K33" s="161"/>
      <c r="L33" s="162">
        <f>+L12+L13-L15-L17</f>
        <v>0</v>
      </c>
      <c r="M33" s="162"/>
    </row>
    <row r="34" spans="1:13" ht="15.75" x14ac:dyDescent="0.25">
      <c r="A34" s="143" t="s">
        <v>264</v>
      </c>
      <c r="B34" s="144"/>
      <c r="C34" s="145">
        <f>+B35</f>
        <v>12000000</v>
      </c>
      <c r="D34" s="145"/>
      <c r="E34" s="146"/>
      <c r="F34" s="147">
        <f>+E35</f>
        <v>15400000</v>
      </c>
      <c r="G34" s="147"/>
      <c r="H34" s="148"/>
      <c r="I34" s="149">
        <f>+H35</f>
        <v>16200000</v>
      </c>
      <c r="J34" s="149"/>
      <c r="K34" s="150"/>
      <c r="L34" s="151">
        <f>+K35</f>
        <v>0</v>
      </c>
      <c r="M34" s="151"/>
    </row>
    <row r="35" spans="1:13" ht="15.75" x14ac:dyDescent="0.25">
      <c r="A35" s="143" t="s">
        <v>265</v>
      </c>
      <c r="B35" s="145">
        <v>12000000</v>
      </c>
      <c r="C35" s="145"/>
      <c r="D35" s="145"/>
      <c r="E35" s="152">
        <v>15400000</v>
      </c>
      <c r="F35" s="147"/>
      <c r="G35" s="147"/>
      <c r="H35" s="153">
        <v>16200000</v>
      </c>
      <c r="I35" s="149"/>
      <c r="J35" s="149"/>
      <c r="K35" s="178"/>
      <c r="L35" s="151"/>
      <c r="M35" s="151"/>
    </row>
    <row r="36" spans="1:13" ht="15.75" x14ac:dyDescent="0.25">
      <c r="A36" s="143" t="s">
        <v>266</v>
      </c>
      <c r="B36" s="145"/>
      <c r="C36" s="145">
        <f>-B37</f>
        <v>-8745000</v>
      </c>
      <c r="D36" s="145"/>
      <c r="E36" s="152"/>
      <c r="F36" s="147">
        <f>-E37</f>
        <v>-10705000</v>
      </c>
      <c r="G36" s="147"/>
      <c r="H36" s="153"/>
      <c r="I36" s="149">
        <f>-H37</f>
        <v>-14900000</v>
      </c>
      <c r="J36" s="149"/>
      <c r="K36" s="154"/>
      <c r="L36" s="151">
        <f>-K37</f>
        <v>0</v>
      </c>
      <c r="M36" s="151"/>
    </row>
    <row r="37" spans="1:13" ht="15.75" x14ac:dyDescent="0.25">
      <c r="A37" s="143" t="s">
        <v>267</v>
      </c>
      <c r="B37" s="145">
        <v>8745000</v>
      </c>
      <c r="C37" s="145"/>
      <c r="D37" s="145"/>
      <c r="E37" s="152">
        <v>10705000</v>
      </c>
      <c r="F37" s="147"/>
      <c r="G37" s="147"/>
      <c r="H37" s="153">
        <v>14900000</v>
      </c>
      <c r="I37" s="149"/>
      <c r="J37" s="149"/>
      <c r="K37" s="178"/>
      <c r="L37" s="151"/>
      <c r="M37" s="151"/>
    </row>
    <row r="38" spans="1:13" ht="15.75" x14ac:dyDescent="0.25">
      <c r="A38" s="163" t="s">
        <v>268</v>
      </c>
      <c r="B38" s="164"/>
      <c r="C38" s="164">
        <f>SUM(C33:C37)</f>
        <v>96845000</v>
      </c>
      <c r="D38" s="164"/>
      <c r="E38" s="165"/>
      <c r="F38" s="168">
        <f>SUM(F33:F37)</f>
        <v>149295000</v>
      </c>
      <c r="G38" s="168"/>
      <c r="H38" s="166"/>
      <c r="I38" s="169">
        <f>SUM(I33:I37)</f>
        <v>151920000</v>
      </c>
      <c r="J38" s="169"/>
      <c r="K38" s="167"/>
      <c r="L38" s="170">
        <f>SUM(L33:L37)</f>
        <v>0</v>
      </c>
      <c r="M38" s="170"/>
    </row>
    <row r="39" spans="1:13" ht="15.75" x14ac:dyDescent="0.25">
      <c r="A39" s="143" t="s">
        <v>269</v>
      </c>
      <c r="B39" s="182">
        <v>0.35</v>
      </c>
      <c r="C39" s="145">
        <f>+C38*B39</f>
        <v>33895750</v>
      </c>
      <c r="D39" s="145"/>
      <c r="E39" s="181">
        <v>0.35</v>
      </c>
      <c r="F39" s="147">
        <f>+F38*E39</f>
        <v>52253250</v>
      </c>
      <c r="G39" s="147"/>
      <c r="H39" s="180">
        <v>0.35</v>
      </c>
      <c r="I39" s="149">
        <f>+I38*H39</f>
        <v>53172000</v>
      </c>
      <c r="J39" s="149"/>
      <c r="K39" s="179">
        <v>0.35</v>
      </c>
      <c r="L39" s="151">
        <f>+L38*K39</f>
        <v>0</v>
      </c>
      <c r="M39" s="151"/>
    </row>
    <row r="40" spans="1:13" ht="15.75" x14ac:dyDescent="0.25">
      <c r="A40" s="155" t="s">
        <v>270</v>
      </c>
      <c r="B40" s="156"/>
      <c r="C40" s="171">
        <f>+C38-C39</f>
        <v>62949250</v>
      </c>
      <c r="D40" s="171"/>
      <c r="E40" s="157"/>
      <c r="F40" s="172">
        <f>+F38-F39</f>
        <v>97041750</v>
      </c>
      <c r="G40" s="172"/>
      <c r="H40" s="159"/>
      <c r="I40" s="173">
        <f>+I38-I39</f>
        <v>98748000</v>
      </c>
      <c r="J40" s="173"/>
      <c r="K40" s="183"/>
      <c r="L40" s="184">
        <f>+L38-L39</f>
        <v>0</v>
      </c>
      <c r="M40" s="184"/>
    </row>
    <row r="41" spans="1:13" x14ac:dyDescent="0.25">
      <c r="C41" s="174"/>
      <c r="D41" s="174"/>
      <c r="F41" s="174"/>
      <c r="G41" s="174"/>
      <c r="I41" s="174"/>
      <c r="J41" s="174"/>
      <c r="L41" s="174"/>
    </row>
    <row r="42" spans="1:13" x14ac:dyDescent="0.25">
      <c r="A42" s="133" t="s">
        <v>271</v>
      </c>
    </row>
    <row r="44" spans="1:13" x14ac:dyDescent="0.25">
      <c r="A44" s="133" t="s">
        <v>272</v>
      </c>
      <c r="C44" s="133" t="s">
        <v>273</v>
      </c>
    </row>
    <row r="46" spans="1:13" x14ac:dyDescent="0.25">
      <c r="A46" s="175"/>
      <c r="B46" s="176"/>
      <c r="C46" s="176"/>
      <c r="D46" s="177"/>
    </row>
  </sheetData>
  <mergeCells count="9">
    <mergeCell ref="E6:F6"/>
    <mergeCell ref="H6:I6"/>
    <mergeCell ref="K6:L6"/>
    <mergeCell ref="A1:C1"/>
    <mergeCell ref="A2:C2"/>
    <mergeCell ref="A3:C3"/>
    <mergeCell ref="A4:C4"/>
    <mergeCell ref="A6:A7"/>
    <mergeCell ref="B6:C6"/>
  </mergeCells>
  <pageMargins left="0.45" right="0.32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Datos Generales</vt:lpstr>
      <vt:lpstr>Incr. %</vt:lpstr>
      <vt:lpstr>Incr. Absoluto</vt:lpstr>
      <vt:lpstr>Min. Cuadrados</vt:lpstr>
      <vt:lpstr>PA-PB</vt:lpstr>
      <vt:lpstr>Resumen Presup de ventas</vt:lpstr>
      <vt:lpstr>Ficha técnica</vt:lpstr>
      <vt:lpstr>Presupuesto de producción</vt:lpstr>
      <vt:lpstr>Presupuesto de consumo de MPD</vt:lpstr>
      <vt:lpstr>Procesos Top-Leggins</vt:lpstr>
      <vt:lpstr>Presupuesto MOD 2026</vt:lpstr>
      <vt:lpstr>Datos Ppto de CIF</vt:lpstr>
      <vt:lpstr>Ppto de Cif</vt:lpstr>
      <vt:lpstr>CEDULA PRESUPUESTAL</vt:lpstr>
      <vt:lpstr>Datos para el presupuesto Final</vt:lpstr>
      <vt:lpstr>E de R </vt:lpstr>
    </vt:vector>
  </TitlesOfParts>
  <Company>Cesde SA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desarrollo</dc:creator>
  <cp:lastModifiedBy>Jairo Omar Alzate Gaviria</cp:lastModifiedBy>
  <dcterms:created xsi:type="dcterms:W3CDTF">2025-08-16T18:43:29Z</dcterms:created>
  <dcterms:modified xsi:type="dcterms:W3CDTF">2025-10-24T22:15:26Z</dcterms:modified>
</cp:coreProperties>
</file>